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88F59373-2408-4ED5-B6E9-8C13D6DFFF1F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07" r:id="rId7"/>
    <sheet name="PROT.CIVIL" sheetId="208" r:id="rId8"/>
  </sheets>
  <externalReferences>
    <externalReference r:id="rId9"/>
    <externalReference r:id="rId10"/>
  </externalReferences>
  <definedNames>
    <definedName name="_xlnm._FilterDatabase" localSheetId="2" hidden="1">BASE!$G$8:$G$110</definedName>
    <definedName name="_xlnm._FilterDatabase" localSheetId="6" hidden="1">'SEG. PUBLICA'!$F$1:$F$50</definedName>
    <definedName name="_xlnm.Print_Area" localSheetId="5">'Apoyos '!$A$32:$AK$61</definedName>
    <definedName name="_xlnm.Print_Area" localSheetId="2">BASE!$B$1:$N$103</definedName>
    <definedName name="_xlnm.Print_Area" localSheetId="4">PENSIONADOS!$B$1:$AK$35</definedName>
    <definedName name="_xlnm.Print_Area" localSheetId="7">PROT.CIVIL!$B$2:$N$33</definedName>
    <definedName name="_xlnm.Print_Area" localSheetId="1">REGIDORES!$B$1:$O$25</definedName>
    <definedName name="_xlnm.Print_Area" localSheetId="6">'SEG. PUBLICA'!$B$1:$N$38</definedName>
    <definedName name="Credito1" localSheetId="5">'[1]Calculo ISPT 2018 quincenal'!$AG$17:$AH$27</definedName>
    <definedName name="Credito1" localSheetId="4">'[1]Calculo ISPT 2018 quincenal'!$AG$17:$AH$27</definedName>
    <definedName name="Credito1" localSheetId="1">#REF!</definedName>
    <definedName name="Credito1">#REF!</definedName>
    <definedName name="SUBSIDIO" localSheetId="1">[2]tarifa!$F$13:$G$23</definedName>
    <definedName name="SUBSIDIO">tarifa!$F$13:$G$23</definedName>
    <definedName name="TARIFA" localSheetId="1">[2]tarifa!$B$13:$D$23</definedName>
    <definedName name="TARIFA">tarifa!$B$13:$D$23</definedName>
    <definedName name="TARIFA1" localSheetId="5">'[1]Calculo ISPT 2018 quincenal'!$Y$17:$AA$27</definedName>
    <definedName name="TARIFA1" localSheetId="4">'[1]Calculo ISPT 2018 quincenal'!$Y$17:$AA$27</definedName>
    <definedName name="TARIFA1" localSheetId="1">#REF!</definedName>
    <definedName name="TARIFA1">#REF!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9" i="206" l="1"/>
  <c r="L129" i="206" s="1"/>
  <c r="I129" i="206"/>
  <c r="J129" i="206" l="1"/>
  <c r="M129" i="206" s="1"/>
  <c r="I33" i="207"/>
  <c r="J33" i="207" s="1"/>
  <c r="K33" i="207" l="1"/>
  <c r="L33" i="207" s="1"/>
  <c r="M33" i="207" s="1"/>
  <c r="O20" i="215" l="1"/>
  <c r="L20" i="215"/>
  <c r="I19" i="215"/>
  <c r="I18" i="215"/>
  <c r="K18" i="215" s="1"/>
  <c r="M18" i="215" s="1"/>
  <c r="I17" i="215"/>
  <c r="K17" i="215" s="1"/>
  <c r="M17" i="215" s="1"/>
  <c r="I16" i="215"/>
  <c r="J16" i="215" s="1"/>
  <c r="I15" i="215"/>
  <c r="J15" i="215" s="1"/>
  <c r="I14" i="215"/>
  <c r="K14" i="215" s="1"/>
  <c r="M14" i="215" s="1"/>
  <c r="N14" i="215" s="1"/>
  <c r="K13" i="215"/>
  <c r="M13" i="215" s="1"/>
  <c r="N13" i="215" s="1"/>
  <c r="I13" i="215"/>
  <c r="J13" i="215" s="1"/>
  <c r="I12" i="215"/>
  <c r="I11" i="215"/>
  <c r="I10" i="215"/>
  <c r="I32" i="207"/>
  <c r="J32" i="207" s="1"/>
  <c r="I31" i="207"/>
  <c r="K31" i="207" s="1"/>
  <c r="L31" i="207" s="1"/>
  <c r="K54" i="206"/>
  <c r="L54" i="206" s="1"/>
  <c r="M54" i="206" s="1"/>
  <c r="J54" i="206"/>
  <c r="I56" i="206"/>
  <c r="J56" i="206" s="1"/>
  <c r="J14" i="215" l="1"/>
  <c r="K16" i="215"/>
  <c r="M16" i="215" s="1"/>
  <c r="N16" i="215" s="1"/>
  <c r="I20" i="215"/>
  <c r="N17" i="215"/>
  <c r="J12" i="215"/>
  <c r="K15" i="215"/>
  <c r="M15" i="215" s="1"/>
  <c r="N15" i="215" s="1"/>
  <c r="K12" i="215"/>
  <c r="M12" i="215" s="1"/>
  <c r="N12" i="215" s="1"/>
  <c r="J17" i="215"/>
  <c r="N18" i="215"/>
  <c r="J19" i="215"/>
  <c r="J11" i="215"/>
  <c r="K11" i="215"/>
  <c r="K19" i="215"/>
  <c r="M19" i="215" s="1"/>
  <c r="N19" i="215" s="1"/>
  <c r="J18" i="215"/>
  <c r="J10" i="215"/>
  <c r="K10" i="215"/>
  <c r="K20" i="215" s="1"/>
  <c r="K32" i="207"/>
  <c r="L32" i="207" s="1"/>
  <c r="M32" i="207" s="1"/>
  <c r="J31" i="207"/>
  <c r="M31" i="207" s="1"/>
  <c r="M56" i="206"/>
  <c r="N32" i="215" l="1"/>
  <c r="J20" i="215"/>
  <c r="M11" i="215"/>
  <c r="N11" i="215" s="1"/>
  <c r="M10" i="215"/>
  <c r="M20" i="215" l="1"/>
  <c r="N10" i="215"/>
  <c r="N31" i="215" s="1"/>
  <c r="N20" i="215" l="1"/>
  <c r="I34" i="207"/>
  <c r="J34" i="207" s="1"/>
  <c r="K34" i="207"/>
  <c r="L34" i="207" s="1"/>
  <c r="I30" i="207"/>
  <c r="K30" i="207" s="1"/>
  <c r="L30" i="207" s="1"/>
  <c r="I21" i="207"/>
  <c r="I74" i="206"/>
  <c r="K74" i="206" s="1"/>
  <c r="L74" i="206" s="1"/>
  <c r="I55" i="206"/>
  <c r="K100" i="206"/>
  <c r="L100" i="206" s="1"/>
  <c r="I100" i="206"/>
  <c r="J100" i="206" s="1"/>
  <c r="I28" i="206"/>
  <c r="J28" i="206" s="1"/>
  <c r="N34" i="215" l="1"/>
  <c r="M34" i="207"/>
  <c r="J30" i="207"/>
  <c r="M30" i="207" s="1"/>
  <c r="J74" i="206"/>
  <c r="M74" i="206" s="1"/>
  <c r="J55" i="206"/>
  <c r="K55" i="206"/>
  <c r="L55" i="206" s="1"/>
  <c r="M100" i="206"/>
  <c r="K28" i="206"/>
  <c r="L28" i="206" s="1"/>
  <c r="M28" i="206" s="1"/>
  <c r="K27" i="205"/>
  <c r="L27" i="205" s="1"/>
  <c r="I27" i="205"/>
  <c r="J27" i="205" s="1"/>
  <c r="M27" i="205" s="1"/>
  <c r="I28" i="208"/>
  <c r="I29" i="208"/>
  <c r="N36" i="215" l="1"/>
  <c r="M55" i="206"/>
  <c r="J28" i="208"/>
  <c r="K28" i="208"/>
  <c r="L28" i="208" s="1"/>
  <c r="J29" i="208"/>
  <c r="K29" i="208"/>
  <c r="L29" i="208" s="1"/>
  <c r="I11" i="208"/>
  <c r="K11" i="208" s="1"/>
  <c r="L11" i="208" s="1"/>
  <c r="I29" i="207"/>
  <c r="I73" i="206"/>
  <c r="J73" i="206" s="1"/>
  <c r="K103" i="206"/>
  <c r="L103" i="206" s="1"/>
  <c r="I103" i="206"/>
  <c r="M28" i="208" l="1"/>
  <c r="M29" i="208"/>
  <c r="J11" i="208"/>
  <c r="M11" i="208" s="1"/>
  <c r="J29" i="207"/>
  <c r="K29" i="207"/>
  <c r="L29" i="207" s="1"/>
  <c r="K73" i="206"/>
  <c r="L73" i="206" s="1"/>
  <c r="M73" i="206" s="1"/>
  <c r="J103" i="206"/>
  <c r="M103" i="206" s="1"/>
  <c r="M29" i="207" l="1"/>
  <c r="I28" i="207"/>
  <c r="K28" i="207" l="1"/>
  <c r="L28" i="207" s="1"/>
  <c r="J28" i="207"/>
  <c r="I25" i="207"/>
  <c r="K25" i="207" s="1"/>
  <c r="L25" i="207" s="1"/>
  <c r="I27" i="207"/>
  <c r="K27" i="207" s="1"/>
  <c r="L27" i="207" s="1"/>
  <c r="I22" i="208"/>
  <c r="J22" i="208" s="1"/>
  <c r="I26" i="207"/>
  <c r="K26" i="207" s="1"/>
  <c r="L26" i="207" s="1"/>
  <c r="I24" i="207"/>
  <c r="I24" i="206"/>
  <c r="K24" i="206" s="1"/>
  <c r="L24" i="206" s="1"/>
  <c r="N25" i="206"/>
  <c r="I39" i="206"/>
  <c r="K39" i="206" s="1"/>
  <c r="L39" i="206" s="1"/>
  <c r="H66" i="213"/>
  <c r="K128" i="206"/>
  <c r="L128" i="206" s="1"/>
  <c r="I128" i="206"/>
  <c r="J128" i="206" s="1"/>
  <c r="K46" i="206"/>
  <c r="L46" i="206" s="1"/>
  <c r="I46" i="206"/>
  <c r="M28" i="207" l="1"/>
  <c r="J25" i="207"/>
  <c r="M25" i="207" s="1"/>
  <c r="K22" i="208"/>
  <c r="L22" i="208" s="1"/>
  <c r="J27" i="207"/>
  <c r="M27" i="207" s="1"/>
  <c r="J26" i="207"/>
  <c r="M26" i="207" s="1"/>
  <c r="J24" i="207"/>
  <c r="K24" i="207"/>
  <c r="L24" i="207" s="1"/>
  <c r="J24" i="206"/>
  <c r="M24" i="206" s="1"/>
  <c r="J39" i="206"/>
  <c r="M39" i="206" s="1"/>
  <c r="M128" i="206"/>
  <c r="J46" i="206"/>
  <c r="M46" i="206" s="1"/>
  <c r="H69" i="213"/>
  <c r="I23" i="207"/>
  <c r="K23" i="207" s="1"/>
  <c r="L23" i="207" s="1"/>
  <c r="L113" i="206"/>
  <c r="I112" i="206"/>
  <c r="H54" i="213"/>
  <c r="M22" i="208" l="1"/>
  <c r="M24" i="207"/>
  <c r="J23" i="207"/>
  <c r="M23" i="207" s="1"/>
  <c r="J113" i="206"/>
  <c r="M113" i="206" s="1"/>
  <c r="K12" i="206"/>
  <c r="L12" i="206" s="1"/>
  <c r="I12" i="206"/>
  <c r="J12" i="206" s="1"/>
  <c r="K75" i="206"/>
  <c r="L75" i="206" s="1"/>
  <c r="I75" i="206"/>
  <c r="M12" i="206" l="1"/>
  <c r="J75" i="206"/>
  <c r="M75" i="206" s="1"/>
  <c r="G49" i="213"/>
  <c r="I31" i="206" l="1"/>
  <c r="J31" i="206" s="1"/>
  <c r="AH24" i="214"/>
  <c r="AG24" i="214"/>
  <c r="AF24" i="214"/>
  <c r="AE24" i="214"/>
  <c r="AC24" i="214"/>
  <c r="O24" i="214"/>
  <c r="N24" i="214"/>
  <c r="M24" i="214"/>
  <c r="L24" i="214"/>
  <c r="J24" i="214"/>
  <c r="I24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S17" i="214" s="1"/>
  <c r="R16" i="214"/>
  <c r="K16" i="214"/>
  <c r="P16" i="214" s="1"/>
  <c r="G53" i="213"/>
  <c r="G50" i="213"/>
  <c r="H21" i="213"/>
  <c r="G20" i="213"/>
  <c r="H16" i="213"/>
  <c r="H10" i="213"/>
  <c r="H22" i="213" l="1"/>
  <c r="S21" i="214"/>
  <c r="X21" i="214" s="1"/>
  <c r="S19" i="214"/>
  <c r="X19" i="214" s="1"/>
  <c r="S22" i="214"/>
  <c r="V22" i="214" s="1"/>
  <c r="AL9" i="213"/>
  <c r="K31" i="206"/>
  <c r="L31" i="206" s="1"/>
  <c r="M31" i="206" s="1"/>
  <c r="R24" i="214"/>
  <c r="P17" i="214"/>
  <c r="S16" i="214"/>
  <c r="S18" i="214"/>
  <c r="X18" i="214" s="1"/>
  <c r="Z21" i="214"/>
  <c r="V21" i="214"/>
  <c r="V17" i="214"/>
  <c r="T17" i="214"/>
  <c r="U17" i="214" s="1"/>
  <c r="Z17" i="214"/>
  <c r="X17" i="214"/>
  <c r="T16" i="214"/>
  <c r="P18" i="214"/>
  <c r="S20" i="214"/>
  <c r="P21" i="214"/>
  <c r="P19" i="214"/>
  <c r="K24" i="214"/>
  <c r="V16" i="214"/>
  <c r="X16" i="214"/>
  <c r="Z16" i="214"/>
  <c r="Z22" i="214" l="1"/>
  <c r="T22" i="214"/>
  <c r="U22" i="214" s="1"/>
  <c r="X22" i="214"/>
  <c r="V19" i="214"/>
  <c r="T21" i="214"/>
  <c r="U21" i="214" s="1"/>
  <c r="W21" i="214" s="1"/>
  <c r="Y21" i="214" s="1"/>
  <c r="AA21" i="214" s="1"/>
  <c r="AD21" i="214" s="1"/>
  <c r="AI21" i="214" s="1"/>
  <c r="AJ21" i="214" s="1"/>
  <c r="T18" i="214"/>
  <c r="U18" i="214" s="1"/>
  <c r="V18" i="214"/>
  <c r="S24" i="214"/>
  <c r="Z19" i="214"/>
  <c r="T19" i="214"/>
  <c r="U19" i="214" s="1"/>
  <c r="Z18" i="214"/>
  <c r="P24" i="214"/>
  <c r="W17" i="214"/>
  <c r="Y17" i="214" s="1"/>
  <c r="AA17" i="214" s="1"/>
  <c r="AD17" i="214" s="1"/>
  <c r="AI17" i="214" s="1"/>
  <c r="AJ17" i="214" s="1"/>
  <c r="W22" i="214"/>
  <c r="U16" i="214"/>
  <c r="V20" i="214"/>
  <c r="T20" i="214"/>
  <c r="U20" i="214" s="1"/>
  <c r="X20" i="214"/>
  <c r="Z20" i="214"/>
  <c r="X24" i="214" l="1"/>
  <c r="Y22" i="214"/>
  <c r="AA22" i="214" s="1"/>
  <c r="AD22" i="214" s="1"/>
  <c r="AI22" i="214" s="1"/>
  <c r="AJ22" i="214" s="1"/>
  <c r="W19" i="214"/>
  <c r="Y19" i="214" s="1"/>
  <c r="AA19" i="214" s="1"/>
  <c r="AD19" i="214" s="1"/>
  <c r="AI19" i="214" s="1"/>
  <c r="AJ19" i="214" s="1"/>
  <c r="Z24" i="214"/>
  <c r="W18" i="214"/>
  <c r="Y18" i="214" s="1"/>
  <c r="AA18" i="214" s="1"/>
  <c r="AD18" i="214" s="1"/>
  <c r="AI18" i="214" s="1"/>
  <c r="AJ18" i="214" s="1"/>
  <c r="V24" i="214"/>
  <c r="W20" i="214"/>
  <c r="Y20" i="214" s="1"/>
  <c r="AA20" i="214" s="1"/>
  <c r="AD20" i="214" s="1"/>
  <c r="AI20" i="214" s="1"/>
  <c r="AJ20" i="214" s="1"/>
  <c r="U24" i="214"/>
  <c r="W16" i="214"/>
  <c r="T24" i="214"/>
  <c r="Y16" i="214" l="1"/>
  <c r="W24" i="214"/>
  <c r="Y24" i="214" l="1"/>
  <c r="AA16" i="214"/>
  <c r="AA24" i="214" l="1"/>
  <c r="AD16" i="214"/>
  <c r="AD24" i="214" l="1"/>
  <c r="AI16" i="214"/>
  <c r="AI24" i="214" l="1"/>
  <c r="AM24" i="214" s="1"/>
  <c r="AJ16" i="214"/>
  <c r="AJ24" i="214" s="1"/>
  <c r="AJ38" i="214" l="1"/>
  <c r="AJ40" i="214" l="1"/>
  <c r="L111" i="206"/>
  <c r="J111" i="206"/>
  <c r="K112" i="206"/>
  <c r="L112" i="206" s="1"/>
  <c r="M111" i="206" l="1"/>
  <c r="J112" i="206"/>
  <c r="M112" i="206" s="1"/>
  <c r="I26" i="208" l="1"/>
  <c r="K26" i="208" s="1"/>
  <c r="L26" i="208" s="1"/>
  <c r="I27" i="208"/>
  <c r="K27" i="208" s="1"/>
  <c r="L27" i="208" s="1"/>
  <c r="I20" i="208"/>
  <c r="J20" i="208" s="1"/>
  <c r="I8" i="208"/>
  <c r="K8" i="208" s="1"/>
  <c r="I22" i="207"/>
  <c r="J22" i="207" s="1"/>
  <c r="I18" i="207"/>
  <c r="K18" i="207" s="1"/>
  <c r="L18" i="207" s="1"/>
  <c r="I14" i="207"/>
  <c r="K14" i="207" s="1"/>
  <c r="L14" i="207" s="1"/>
  <c r="I9" i="207"/>
  <c r="K9" i="207" s="1"/>
  <c r="L9" i="207" s="1"/>
  <c r="I126" i="206"/>
  <c r="J126" i="206" s="1"/>
  <c r="I117" i="206"/>
  <c r="J117" i="206" s="1"/>
  <c r="I115" i="206"/>
  <c r="J115" i="206" s="1"/>
  <c r="I107" i="206"/>
  <c r="I104" i="206"/>
  <c r="J104" i="206" s="1"/>
  <c r="I96" i="206"/>
  <c r="J96" i="206" s="1"/>
  <c r="I95" i="206"/>
  <c r="J95" i="206" s="1"/>
  <c r="I94" i="206"/>
  <c r="J94" i="206" s="1"/>
  <c r="I91" i="206"/>
  <c r="I86" i="206"/>
  <c r="J86" i="206" s="1"/>
  <c r="I79" i="206"/>
  <c r="I69" i="206"/>
  <c r="J69" i="206" s="1"/>
  <c r="I62" i="206"/>
  <c r="K62" i="206" s="1"/>
  <c r="L62" i="206" s="1"/>
  <c r="I61" i="206"/>
  <c r="J61" i="206" s="1"/>
  <c r="I49" i="206"/>
  <c r="I57" i="206"/>
  <c r="J57" i="206" s="1"/>
  <c r="I53" i="206"/>
  <c r="I52" i="206"/>
  <c r="J52" i="206" s="1"/>
  <c r="I51" i="206"/>
  <c r="J51" i="206" s="1"/>
  <c r="I32" i="206"/>
  <c r="J32" i="206" s="1"/>
  <c r="I23" i="206"/>
  <c r="J23" i="206" s="1"/>
  <c r="I18" i="206"/>
  <c r="I96" i="205"/>
  <c r="I97" i="205"/>
  <c r="K89" i="205"/>
  <c r="I84" i="205"/>
  <c r="I81" i="205"/>
  <c r="I78" i="205"/>
  <c r="I63" i="205"/>
  <c r="I62" i="205"/>
  <c r="I61" i="205"/>
  <c r="I58" i="205"/>
  <c r="I40" i="205"/>
  <c r="I37" i="205"/>
  <c r="I36" i="205"/>
  <c r="I34" i="205"/>
  <c r="I31" i="205"/>
  <c r="I30" i="205"/>
  <c r="I26" i="205"/>
  <c r="I25" i="205"/>
  <c r="I24" i="205"/>
  <c r="I20" i="205"/>
  <c r="I13" i="205"/>
  <c r="I9" i="205"/>
  <c r="K24" i="208"/>
  <c r="L24" i="208" s="1"/>
  <c r="I141" i="206"/>
  <c r="J141" i="206" s="1"/>
  <c r="K133" i="206"/>
  <c r="L133" i="206" s="1"/>
  <c r="K132" i="206"/>
  <c r="L132" i="206" s="1"/>
  <c r="K127" i="206"/>
  <c r="K125" i="206"/>
  <c r="L125" i="206" s="1"/>
  <c r="K124" i="206"/>
  <c r="K121" i="206"/>
  <c r="L121" i="206" s="1"/>
  <c r="K120" i="206"/>
  <c r="L120" i="206" s="1"/>
  <c r="K119" i="206"/>
  <c r="L119" i="206" s="1"/>
  <c r="K118" i="206"/>
  <c r="L118" i="206" s="1"/>
  <c r="K116" i="206"/>
  <c r="L116" i="206" s="1"/>
  <c r="K115" i="206"/>
  <c r="L115" i="206" s="1"/>
  <c r="K114" i="206"/>
  <c r="L114" i="206" s="1"/>
  <c r="K110" i="206"/>
  <c r="L110" i="206" s="1"/>
  <c r="K109" i="206"/>
  <c r="L109" i="206" s="1"/>
  <c r="K108" i="206"/>
  <c r="L108" i="206" s="1"/>
  <c r="K107" i="206"/>
  <c r="L107" i="206" s="1"/>
  <c r="K104" i="206"/>
  <c r="L104" i="206" s="1"/>
  <c r="K102" i="206"/>
  <c r="L102" i="206" s="1"/>
  <c r="K101" i="206"/>
  <c r="L101" i="206" s="1"/>
  <c r="K99" i="206"/>
  <c r="L99" i="206" s="1"/>
  <c r="K97" i="206"/>
  <c r="L97" i="206" s="1"/>
  <c r="K96" i="206"/>
  <c r="L96" i="206" s="1"/>
  <c r="K95" i="206"/>
  <c r="L95" i="206" s="1"/>
  <c r="K94" i="206"/>
  <c r="L94" i="206" s="1"/>
  <c r="K92" i="206"/>
  <c r="L92" i="206" s="1"/>
  <c r="K91" i="206"/>
  <c r="L91" i="206" s="1"/>
  <c r="K90" i="206"/>
  <c r="L90" i="206" s="1"/>
  <c r="K87" i="206"/>
  <c r="L87" i="206" s="1"/>
  <c r="K85" i="206"/>
  <c r="L85" i="206" s="1"/>
  <c r="K84" i="206"/>
  <c r="L84" i="206" s="1"/>
  <c r="K83" i="206"/>
  <c r="L83" i="206" s="1"/>
  <c r="K82" i="206"/>
  <c r="L82" i="206" s="1"/>
  <c r="K72" i="206"/>
  <c r="L72" i="206" s="1"/>
  <c r="K69" i="206"/>
  <c r="L69" i="206" s="1"/>
  <c r="K70" i="206"/>
  <c r="L70" i="206" s="1"/>
  <c r="K71" i="206"/>
  <c r="L71" i="206" s="1"/>
  <c r="K68" i="206"/>
  <c r="L68" i="206" s="1"/>
  <c r="K67" i="206"/>
  <c r="L67" i="206" s="1"/>
  <c r="K61" i="206"/>
  <c r="L61" i="206" s="1"/>
  <c r="K60" i="206"/>
  <c r="L60" i="206" s="1"/>
  <c r="K57" i="206"/>
  <c r="L57" i="206" s="1"/>
  <c r="K47" i="206"/>
  <c r="L47" i="206" s="1"/>
  <c r="K48" i="206"/>
  <c r="L48" i="206" s="1"/>
  <c r="K45" i="206"/>
  <c r="L45" i="206" s="1"/>
  <c r="K43" i="206"/>
  <c r="L43" i="206" s="1"/>
  <c r="K42" i="206"/>
  <c r="L42" i="206" s="1"/>
  <c r="K36" i="206"/>
  <c r="L36" i="206" s="1"/>
  <c r="K37" i="206"/>
  <c r="L37" i="206" s="1"/>
  <c r="K38" i="206"/>
  <c r="L38" i="206" s="1"/>
  <c r="K35" i="206"/>
  <c r="K29" i="206"/>
  <c r="L29" i="206" s="1"/>
  <c r="K30" i="206"/>
  <c r="L30" i="206" s="1"/>
  <c r="J91" i="206" l="1"/>
  <c r="M91" i="206"/>
  <c r="J53" i="206"/>
  <c r="K53" i="206"/>
  <c r="L53" i="206" s="1"/>
  <c r="I32" i="205"/>
  <c r="J8" i="208"/>
  <c r="L8" i="208"/>
  <c r="I98" i="205"/>
  <c r="L127" i="206"/>
  <c r="J26" i="208"/>
  <c r="K49" i="206"/>
  <c r="L49" i="206" s="1"/>
  <c r="K20" i="208"/>
  <c r="L20" i="208" s="1"/>
  <c r="L35" i="206"/>
  <c r="L40" i="206" s="1"/>
  <c r="K40" i="206"/>
  <c r="L124" i="206"/>
  <c r="L130" i="206" s="1"/>
  <c r="K52" i="206"/>
  <c r="L52" i="206" s="1"/>
  <c r="K126" i="206"/>
  <c r="L126" i="206" s="1"/>
  <c r="K18" i="206"/>
  <c r="L18" i="206" s="1"/>
  <c r="I19" i="206"/>
  <c r="J62" i="206"/>
  <c r="J107" i="206"/>
  <c r="K117" i="206"/>
  <c r="L117" i="206" s="1"/>
  <c r="K22" i="207"/>
  <c r="L22" i="207" s="1"/>
  <c r="J18" i="207"/>
  <c r="K51" i="206"/>
  <c r="L51" i="206" s="1"/>
  <c r="J18" i="206"/>
  <c r="J27" i="208"/>
  <c r="K86" i="206"/>
  <c r="L86" i="206" s="1"/>
  <c r="K23" i="206"/>
  <c r="L23" i="206" s="1"/>
  <c r="K32" i="206"/>
  <c r="L32" i="206" s="1"/>
  <c r="J49" i="206"/>
  <c r="J14" i="207"/>
  <c r="J9" i="207"/>
  <c r="K141" i="206"/>
  <c r="L141" i="206" s="1"/>
  <c r="K130" i="206" l="1"/>
  <c r="M53" i="206"/>
  <c r="M49" i="206"/>
  <c r="I15" i="206"/>
  <c r="J15" i="206" s="1"/>
  <c r="I14" i="206"/>
  <c r="J14" i="206" s="1"/>
  <c r="I11" i="206"/>
  <c r="J11" i="206" s="1"/>
  <c r="K14" i="206"/>
  <c r="L14" i="206" s="1"/>
  <c r="K13" i="206"/>
  <c r="L13" i="206" s="1"/>
  <c r="K11" i="206"/>
  <c r="L11" i="206" s="1"/>
  <c r="K10" i="206"/>
  <c r="L10" i="206" s="1"/>
  <c r="K97" i="205"/>
  <c r="L97" i="205" s="1"/>
  <c r="J97" i="205"/>
  <c r="K96" i="205"/>
  <c r="L96" i="205" s="1"/>
  <c r="J96" i="205"/>
  <c r="I88" i="205"/>
  <c r="K84" i="205"/>
  <c r="L84" i="205" s="1"/>
  <c r="J84" i="205"/>
  <c r="K81" i="205"/>
  <c r="L81" i="205" s="1"/>
  <c r="J81" i="205"/>
  <c r="K78" i="205"/>
  <c r="L78" i="205" s="1"/>
  <c r="J78" i="205"/>
  <c r="K75" i="205"/>
  <c r="L75" i="205" s="1"/>
  <c r="K70" i="205"/>
  <c r="L70" i="205" s="1"/>
  <c r="K71" i="205"/>
  <c r="L71" i="205" s="1"/>
  <c r="K63" i="205"/>
  <c r="L63" i="205" s="1"/>
  <c r="J63" i="205"/>
  <c r="K62" i="205"/>
  <c r="L62" i="205" s="1"/>
  <c r="J62" i="205"/>
  <c r="K61" i="205"/>
  <c r="L61" i="205" s="1"/>
  <c r="J61" i="205"/>
  <c r="K58" i="205"/>
  <c r="J58" i="205"/>
  <c r="K49" i="205"/>
  <c r="K40" i="205"/>
  <c r="J40" i="205"/>
  <c r="K36" i="205"/>
  <c r="J36" i="205"/>
  <c r="K35" i="205"/>
  <c r="K34" i="205"/>
  <c r="J34" i="205"/>
  <c r="J37" i="205"/>
  <c r="K31" i="205"/>
  <c r="J31" i="205"/>
  <c r="K30" i="205"/>
  <c r="J30" i="205"/>
  <c r="J24" i="205"/>
  <c r="K24" i="205"/>
  <c r="J25" i="205"/>
  <c r="K25" i="205"/>
  <c r="J26" i="205"/>
  <c r="K26" i="205"/>
  <c r="K20" i="205"/>
  <c r="J20" i="205"/>
  <c r="K10" i="205"/>
  <c r="K12" i="205"/>
  <c r="K13" i="205"/>
  <c r="K9" i="205"/>
  <c r="J10" i="205"/>
  <c r="J13" i="205"/>
  <c r="K88" i="205" l="1"/>
  <c r="L88" i="205" s="1"/>
  <c r="K15" i="206"/>
  <c r="J88" i="205"/>
  <c r="J9" i="205"/>
  <c r="I23" i="208" l="1"/>
  <c r="K23" i="208" l="1"/>
  <c r="L23" i="208" s="1"/>
  <c r="J23" i="208"/>
  <c r="M20" i="208"/>
  <c r="M26" i="208"/>
  <c r="M27" i="208"/>
  <c r="M8" i="208"/>
  <c r="I24" i="208"/>
  <c r="I21" i="208"/>
  <c r="M9" i="207"/>
  <c r="M14" i="207"/>
  <c r="M18" i="207"/>
  <c r="M22" i="207"/>
  <c r="I11" i="207"/>
  <c r="J142" i="206"/>
  <c r="K142" i="206"/>
  <c r="K122" i="206"/>
  <c r="K88" i="206"/>
  <c r="J19" i="206"/>
  <c r="K19" i="206"/>
  <c r="L142" i="206"/>
  <c r="M126" i="206"/>
  <c r="M117" i="206"/>
  <c r="M115" i="206"/>
  <c r="M107" i="206"/>
  <c r="M104" i="206"/>
  <c r="M86" i="206"/>
  <c r="L79" i="206"/>
  <c r="M79" i="206" s="1"/>
  <c r="M62" i="206"/>
  <c r="M61" i="206"/>
  <c r="M57" i="206"/>
  <c r="M52" i="206"/>
  <c r="M51" i="206"/>
  <c r="M32" i="206"/>
  <c r="M23" i="206"/>
  <c r="M18" i="206"/>
  <c r="L15" i="206"/>
  <c r="M15" i="206" s="1"/>
  <c r="M14" i="206"/>
  <c r="M11" i="206"/>
  <c r="I138" i="206"/>
  <c r="I139" i="206" s="1"/>
  <c r="M97" i="205"/>
  <c r="M96" i="205"/>
  <c r="M84" i="205"/>
  <c r="M81" i="205"/>
  <c r="M78" i="205"/>
  <c r="M79" i="205" s="1"/>
  <c r="M63" i="205"/>
  <c r="M62" i="205"/>
  <c r="M61" i="205"/>
  <c r="L58" i="205"/>
  <c r="M58" i="205" s="1"/>
  <c r="L40" i="205"/>
  <c r="M40" i="205" s="1"/>
  <c r="L37" i="205"/>
  <c r="M37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0" i="205"/>
  <c r="M10" i="205" s="1"/>
  <c r="L12" i="205"/>
  <c r="L13" i="205"/>
  <c r="M13" i="205" s="1"/>
  <c r="L9" i="205"/>
  <c r="I19" i="205"/>
  <c r="I21" i="205" s="1"/>
  <c r="I23" i="205"/>
  <c r="I28" i="205" s="1"/>
  <c r="I35" i="205"/>
  <c r="I38" i="205" s="1"/>
  <c r="I41" i="205"/>
  <c r="I42" i="205" s="1"/>
  <c r="I44" i="205"/>
  <c r="I45" i="205"/>
  <c r="I48" i="205"/>
  <c r="I49" i="205"/>
  <c r="J49" i="205" s="1"/>
  <c r="I52" i="205"/>
  <c r="J82" i="205"/>
  <c r="M19" i="206" l="1"/>
  <c r="M98" i="205"/>
  <c r="I50" i="205"/>
  <c r="I46" i="205"/>
  <c r="J35" i="205"/>
  <c r="M35" i="205" s="1"/>
  <c r="M38" i="205" s="1"/>
  <c r="M32" i="205"/>
  <c r="L32" i="205"/>
  <c r="M23" i="208"/>
  <c r="K45" i="205"/>
  <c r="L45" i="205" s="1"/>
  <c r="J45" i="205"/>
  <c r="K11" i="207"/>
  <c r="L11" i="207" s="1"/>
  <c r="J11" i="207"/>
  <c r="K21" i="208"/>
  <c r="L21" i="208" s="1"/>
  <c r="J21" i="208"/>
  <c r="K48" i="205"/>
  <c r="L48" i="205" s="1"/>
  <c r="J48" i="205"/>
  <c r="J24" i="208"/>
  <c r="M24" i="208" s="1"/>
  <c r="K41" i="205"/>
  <c r="L41" i="205" s="1"/>
  <c r="J41" i="205"/>
  <c r="K138" i="206"/>
  <c r="J138" i="206"/>
  <c r="J139" i="206" s="1"/>
  <c r="K44" i="205"/>
  <c r="L44" i="205" s="1"/>
  <c r="J44" i="205"/>
  <c r="K23" i="205"/>
  <c r="K28" i="205" s="1"/>
  <c r="J23" i="205"/>
  <c r="K19" i="205"/>
  <c r="L19" i="205" s="1"/>
  <c r="J19" i="205"/>
  <c r="K52" i="205"/>
  <c r="L52" i="205" s="1"/>
  <c r="J52" i="205"/>
  <c r="L19" i="206"/>
  <c r="L88" i="206"/>
  <c r="M141" i="206"/>
  <c r="M142" i="206" s="1"/>
  <c r="L122" i="206"/>
  <c r="M69" i="206"/>
  <c r="M49" i="205"/>
  <c r="M25" i="205"/>
  <c r="L82" i="205"/>
  <c r="M82" i="205"/>
  <c r="J98" i="205"/>
  <c r="L79" i="205"/>
  <c r="J79" i="205"/>
  <c r="J32" i="205"/>
  <c r="L23" i="205" l="1"/>
  <c r="L28" i="205" s="1"/>
  <c r="M44" i="205"/>
  <c r="M41" i="205"/>
  <c r="M45" i="205"/>
  <c r="M48" i="205"/>
  <c r="M50" i="205" s="1"/>
  <c r="M19" i="205"/>
  <c r="M11" i="207"/>
  <c r="M52" i="205"/>
  <c r="M53" i="205" s="1"/>
  <c r="M21" i="208"/>
  <c r="L138" i="206"/>
  <c r="K139" i="206"/>
  <c r="K82" i="205"/>
  <c r="K32" i="205"/>
  <c r="K98" i="205"/>
  <c r="K79" i="205"/>
  <c r="L98" i="205"/>
  <c r="N58" i="206"/>
  <c r="M42" i="205" l="1"/>
  <c r="M21" i="205"/>
  <c r="M46" i="205"/>
  <c r="M23" i="205"/>
  <c r="M28" i="205" s="1"/>
  <c r="L139" i="206"/>
  <c r="M138" i="206"/>
  <c r="M139" i="206" s="1"/>
  <c r="N80" i="206"/>
  <c r="N40" i="206"/>
  <c r="I38" i="206"/>
  <c r="I36" i="206"/>
  <c r="N33" i="206"/>
  <c r="N16" i="206"/>
  <c r="I82" i="205"/>
  <c r="I79" i="205"/>
  <c r="I78" i="206"/>
  <c r="I80" i="206" s="1"/>
  <c r="N142" i="206"/>
  <c r="I142" i="206"/>
  <c r="N139" i="206"/>
  <c r="N136" i="206"/>
  <c r="N130" i="206"/>
  <c r="N122" i="206"/>
  <c r="N105" i="206"/>
  <c r="N88" i="206"/>
  <c r="N76" i="206"/>
  <c r="N64" i="206"/>
  <c r="N19" i="206"/>
  <c r="J36" i="206" l="1"/>
  <c r="M36" i="206" s="1"/>
  <c r="K78" i="206"/>
  <c r="J78" i="206"/>
  <c r="J80" i="206" s="1"/>
  <c r="J38" i="206"/>
  <c r="M38" i="206" s="1"/>
  <c r="I63" i="206"/>
  <c r="L78" i="206" l="1"/>
  <c r="K80" i="206"/>
  <c r="K63" i="206"/>
  <c r="J63" i="206"/>
  <c r="L80" i="206" l="1"/>
  <c r="M78" i="206"/>
  <c r="L63" i="206"/>
  <c r="L64" i="206" s="1"/>
  <c r="K64" i="206"/>
  <c r="M80" i="206" l="1"/>
  <c r="M63" i="206"/>
  <c r="K21" i="207"/>
  <c r="L21" i="207" s="1"/>
  <c r="J21" i="207"/>
  <c r="I43" i="206"/>
  <c r="I44" i="206"/>
  <c r="I45" i="206"/>
  <c r="I47" i="206"/>
  <c r="I48" i="206"/>
  <c r="I50" i="206"/>
  <c r="M21" i="207" l="1"/>
  <c r="K50" i="206"/>
  <c r="L50" i="206" s="1"/>
  <c r="J50" i="206"/>
  <c r="J48" i="206"/>
  <c r="M48" i="206" s="1"/>
  <c r="J45" i="206"/>
  <c r="M45" i="206" s="1"/>
  <c r="K44" i="206"/>
  <c r="J44" i="206"/>
  <c r="J43" i="206"/>
  <c r="M43" i="206" s="1"/>
  <c r="J47" i="206"/>
  <c r="M47" i="206" s="1"/>
  <c r="I10" i="207"/>
  <c r="I12" i="207"/>
  <c r="I13" i="207"/>
  <c r="I15" i="207"/>
  <c r="I16" i="207"/>
  <c r="I17" i="207"/>
  <c r="I19" i="207"/>
  <c r="I20" i="207"/>
  <c r="I72" i="206"/>
  <c r="M50" i="206" l="1"/>
  <c r="J72" i="206"/>
  <c r="M72" i="206" s="1"/>
  <c r="K15" i="207"/>
  <c r="L15" i="207" s="1"/>
  <c r="J15" i="207"/>
  <c r="J17" i="207"/>
  <c r="K17" i="207"/>
  <c r="L17" i="207" s="1"/>
  <c r="K19" i="207"/>
  <c r="L19" i="207" s="1"/>
  <c r="J19" i="207"/>
  <c r="K12" i="207"/>
  <c r="L12" i="207" s="1"/>
  <c r="J12" i="207"/>
  <c r="J20" i="207"/>
  <c r="K20" i="207"/>
  <c r="L20" i="207" s="1"/>
  <c r="K13" i="207"/>
  <c r="L13" i="207" s="1"/>
  <c r="J13" i="207"/>
  <c r="K10" i="207"/>
  <c r="L10" i="207" s="1"/>
  <c r="J10" i="207"/>
  <c r="L44" i="206"/>
  <c r="K58" i="206"/>
  <c r="K16" i="207"/>
  <c r="L16" i="207" s="1"/>
  <c r="J16" i="207"/>
  <c r="M15" i="207" l="1"/>
  <c r="M16" i="207"/>
  <c r="M12" i="207"/>
  <c r="M13" i="207"/>
  <c r="M19" i="207"/>
  <c r="M10" i="207"/>
  <c r="M17" i="207"/>
  <c r="M20" i="207"/>
  <c r="L58" i="206"/>
  <c r="M44" i="206"/>
  <c r="M47" i="207" l="1"/>
  <c r="J42" i="205"/>
  <c r="L42" i="205"/>
  <c r="I67" i="206"/>
  <c r="J67" i="206" l="1"/>
  <c r="M67" i="206" s="1"/>
  <c r="K42" i="205"/>
  <c r="I16" i="208" l="1"/>
  <c r="K16" i="208" l="1"/>
  <c r="L16" i="208" s="1"/>
  <c r="J16" i="208"/>
  <c r="I70" i="206"/>
  <c r="M16" i="208" l="1"/>
  <c r="J70" i="206"/>
  <c r="M70" i="206" s="1"/>
  <c r="I18" i="208"/>
  <c r="I17" i="208"/>
  <c r="K18" i="208" l="1"/>
  <c r="L18" i="208" s="1"/>
  <c r="J18" i="208"/>
  <c r="J17" i="208"/>
  <c r="K17" i="208"/>
  <c r="L17" i="208" s="1"/>
  <c r="I132" i="206"/>
  <c r="M18" i="208" l="1"/>
  <c r="M17" i="208"/>
  <c r="J132" i="206"/>
  <c r="M132" i="206" s="1"/>
  <c r="I9" i="208"/>
  <c r="I10" i="208"/>
  <c r="I12" i="208"/>
  <c r="I13" i="208"/>
  <c r="I14" i="208"/>
  <c r="I15" i="208"/>
  <c r="I19" i="208"/>
  <c r="I8" i="206"/>
  <c r="I133" i="206"/>
  <c r="I134" i="206"/>
  <c r="I124" i="206"/>
  <c r="I125" i="206"/>
  <c r="I127" i="206"/>
  <c r="I108" i="206"/>
  <c r="I109" i="206"/>
  <c r="I110" i="206"/>
  <c r="I114" i="206"/>
  <c r="I116" i="206"/>
  <c r="I118" i="206"/>
  <c r="I119" i="206"/>
  <c r="I120" i="206"/>
  <c r="I121" i="206"/>
  <c r="I92" i="206"/>
  <c r="I93" i="206"/>
  <c r="I97" i="206"/>
  <c r="I98" i="206"/>
  <c r="K98" i="206" s="1"/>
  <c r="L98" i="206" s="1"/>
  <c r="I99" i="206"/>
  <c r="I101" i="206"/>
  <c r="I102" i="206"/>
  <c r="I90" i="206"/>
  <c r="I87" i="206"/>
  <c r="I83" i="206"/>
  <c r="I84" i="206"/>
  <c r="I85" i="206"/>
  <c r="I82" i="206"/>
  <c r="I66" i="206"/>
  <c r="I68" i="206"/>
  <c r="I71" i="206"/>
  <c r="I60" i="206"/>
  <c r="I64" i="206" s="1"/>
  <c r="I42" i="206"/>
  <c r="I58" i="206" s="1"/>
  <c r="I35" i="206"/>
  <c r="I37" i="206"/>
  <c r="I29" i="206"/>
  <c r="I30" i="206"/>
  <c r="I27" i="206"/>
  <c r="I21" i="206"/>
  <c r="I22" i="206"/>
  <c r="I9" i="206"/>
  <c r="I10" i="206"/>
  <c r="I13" i="206"/>
  <c r="M9" i="205"/>
  <c r="I93" i="205"/>
  <c r="I90" i="205"/>
  <c r="I89" i="205"/>
  <c r="M88" i="205"/>
  <c r="I85" i="205"/>
  <c r="I86" i="205" s="1"/>
  <c r="I75" i="205"/>
  <c r="I74" i="205"/>
  <c r="I70" i="205"/>
  <c r="I71" i="205"/>
  <c r="I69" i="205"/>
  <c r="I66" i="205"/>
  <c r="I60" i="205"/>
  <c r="K60" i="205" s="1"/>
  <c r="L60" i="205" s="1"/>
  <c r="I59" i="205"/>
  <c r="I17" i="205"/>
  <c r="I11" i="205"/>
  <c r="I12" i="205"/>
  <c r="I88" i="206" l="1"/>
  <c r="I130" i="206"/>
  <c r="I91" i="205"/>
  <c r="I40" i="206"/>
  <c r="I16" i="206"/>
  <c r="I25" i="206"/>
  <c r="I105" i="206"/>
  <c r="I33" i="206"/>
  <c r="I122" i="206"/>
  <c r="I76" i="206"/>
  <c r="I64" i="205"/>
  <c r="I31" i="208"/>
  <c r="I72" i="205"/>
  <c r="I14" i="205"/>
  <c r="I76" i="205"/>
  <c r="J60" i="206"/>
  <c r="J64" i="206" s="1"/>
  <c r="J42" i="206"/>
  <c r="J58" i="206" s="1"/>
  <c r="K16" i="205"/>
  <c r="L16" i="205" s="1"/>
  <c r="J16" i="205"/>
  <c r="J121" i="206"/>
  <c r="M121" i="206" s="1"/>
  <c r="K85" i="205"/>
  <c r="L85" i="205" s="1"/>
  <c r="J85" i="205"/>
  <c r="K66" i="205"/>
  <c r="L66" i="205" s="1"/>
  <c r="J66" i="205"/>
  <c r="J84" i="206"/>
  <c r="M84" i="206" s="1"/>
  <c r="J83" i="206"/>
  <c r="M83" i="206" s="1"/>
  <c r="J97" i="206"/>
  <c r="M97" i="206" s="1"/>
  <c r="J116" i="206"/>
  <c r="M116" i="206" s="1"/>
  <c r="J124" i="206"/>
  <c r="J14" i="208"/>
  <c r="K14" i="208"/>
  <c r="L14" i="208" s="1"/>
  <c r="J101" i="206"/>
  <c r="M101" i="206" s="1"/>
  <c r="K59" i="205"/>
  <c r="L59" i="205" s="1"/>
  <c r="J59" i="205"/>
  <c r="J82" i="206"/>
  <c r="J108" i="206"/>
  <c r="J89" i="205"/>
  <c r="J35" i="206"/>
  <c r="J98" i="206"/>
  <c r="M98" i="206" s="1"/>
  <c r="J118" i="206"/>
  <c r="M118" i="206" s="1"/>
  <c r="K69" i="205"/>
  <c r="L69" i="205" s="1"/>
  <c r="J69" i="205"/>
  <c r="J71" i="205"/>
  <c r="M71" i="205" s="1"/>
  <c r="K134" i="206"/>
  <c r="L134" i="206" s="1"/>
  <c r="J134" i="206"/>
  <c r="J87" i="206"/>
  <c r="M87" i="206" s="1"/>
  <c r="J114" i="206"/>
  <c r="M114" i="206" s="1"/>
  <c r="K13" i="208"/>
  <c r="L13" i="208" s="1"/>
  <c r="J13" i="208"/>
  <c r="J12" i="205"/>
  <c r="M12" i="205" s="1"/>
  <c r="J70" i="205"/>
  <c r="M70" i="205" s="1"/>
  <c r="J30" i="206"/>
  <c r="M30" i="206" s="1"/>
  <c r="J71" i="206"/>
  <c r="M71" i="206" s="1"/>
  <c r="J90" i="206"/>
  <c r="M90" i="206" s="1"/>
  <c r="J93" i="206"/>
  <c r="K93" i="206"/>
  <c r="J133" i="206"/>
  <c r="M133" i="206" s="1"/>
  <c r="K12" i="208"/>
  <c r="L12" i="208" s="1"/>
  <c r="J12" i="208"/>
  <c r="J75" i="205"/>
  <c r="M75" i="205" s="1"/>
  <c r="J10" i="206"/>
  <c r="M10" i="206" s="1"/>
  <c r="J19" i="208"/>
  <c r="K19" i="208"/>
  <c r="L19" i="208" s="1"/>
  <c r="K22" i="206"/>
  <c r="L22" i="206" s="1"/>
  <c r="J22" i="206"/>
  <c r="J125" i="206"/>
  <c r="M125" i="206" s="1"/>
  <c r="K90" i="205"/>
  <c r="L90" i="205" s="1"/>
  <c r="J90" i="205"/>
  <c r="K21" i="206"/>
  <c r="J21" i="206"/>
  <c r="K93" i="205"/>
  <c r="L93" i="205" s="1"/>
  <c r="J93" i="205"/>
  <c r="K27" i="206"/>
  <c r="J27" i="206"/>
  <c r="K11" i="205"/>
  <c r="K14" i="205" s="1"/>
  <c r="J11" i="205"/>
  <c r="K74" i="205"/>
  <c r="L74" i="205" s="1"/>
  <c r="J74" i="205"/>
  <c r="J29" i="206"/>
  <c r="M29" i="206" s="1"/>
  <c r="J68" i="206"/>
  <c r="M68" i="206" s="1"/>
  <c r="J102" i="206"/>
  <c r="M102" i="206" s="1"/>
  <c r="J92" i="206"/>
  <c r="M92" i="206" s="1"/>
  <c r="J110" i="206"/>
  <c r="M110" i="206" s="1"/>
  <c r="K10" i="208"/>
  <c r="L10" i="208" s="1"/>
  <c r="J10" i="208"/>
  <c r="J13" i="206"/>
  <c r="M13" i="206" s="1"/>
  <c r="K8" i="206"/>
  <c r="J8" i="206"/>
  <c r="K9" i="208"/>
  <c r="J9" i="208"/>
  <c r="K66" i="206"/>
  <c r="K76" i="206" s="1"/>
  <c r="J66" i="206"/>
  <c r="J109" i="206"/>
  <c r="M109" i="206" s="1"/>
  <c r="J37" i="206"/>
  <c r="M37" i="206" s="1"/>
  <c r="J120" i="206"/>
  <c r="M120" i="206" s="1"/>
  <c r="J60" i="205"/>
  <c r="M60" i="205" s="1"/>
  <c r="K9" i="206"/>
  <c r="L9" i="206" s="1"/>
  <c r="J9" i="206"/>
  <c r="J85" i="206"/>
  <c r="M85" i="206" s="1"/>
  <c r="J99" i="206"/>
  <c r="M99" i="206" s="1"/>
  <c r="J119" i="206"/>
  <c r="M119" i="206" s="1"/>
  <c r="J127" i="206"/>
  <c r="K15" i="208"/>
  <c r="L15" i="208" s="1"/>
  <c r="J15" i="208"/>
  <c r="J38" i="205"/>
  <c r="L38" i="205"/>
  <c r="L46" i="205"/>
  <c r="J46" i="205"/>
  <c r="I67" i="205"/>
  <c r="J50" i="205"/>
  <c r="I94" i="205"/>
  <c r="J130" i="206" l="1"/>
  <c r="J14" i="205"/>
  <c r="J31" i="208"/>
  <c r="L9" i="208"/>
  <c r="L31" i="208" s="1"/>
  <c r="K31" i="208"/>
  <c r="J25" i="206"/>
  <c r="M127" i="206"/>
  <c r="M10" i="208"/>
  <c r="K25" i="206"/>
  <c r="M42" i="206"/>
  <c r="M58" i="206" s="1"/>
  <c r="M60" i="206"/>
  <c r="M64" i="206" s="1"/>
  <c r="J40" i="206"/>
  <c r="J16" i="206"/>
  <c r="K16" i="206"/>
  <c r="J76" i="206"/>
  <c r="J76" i="205"/>
  <c r="J72" i="205"/>
  <c r="M74" i="205"/>
  <c r="M76" i="205" s="1"/>
  <c r="L11" i="205"/>
  <c r="L14" i="205" s="1"/>
  <c r="M90" i="205"/>
  <c r="M14" i="208"/>
  <c r="M93" i="205"/>
  <c r="M94" i="205" s="1"/>
  <c r="M59" i="205"/>
  <c r="M19" i="208"/>
  <c r="M15" i="208"/>
  <c r="M69" i="205"/>
  <c r="M72" i="205" s="1"/>
  <c r="M85" i="205"/>
  <c r="M86" i="205" s="1"/>
  <c r="M134" i="206"/>
  <c r="J91" i="205"/>
  <c r="M9" i="206"/>
  <c r="M9" i="208"/>
  <c r="M66" i="205"/>
  <c r="M67" i="205" s="1"/>
  <c r="M22" i="206"/>
  <c r="M89" i="205"/>
  <c r="J122" i="206"/>
  <c r="J64" i="205"/>
  <c r="M13" i="208"/>
  <c r="M108" i="206"/>
  <c r="M122" i="206" s="1"/>
  <c r="L21" i="206"/>
  <c r="L25" i="206" s="1"/>
  <c r="L93" i="206"/>
  <c r="K105" i="206"/>
  <c r="J88" i="206"/>
  <c r="L8" i="206"/>
  <c r="L16" i="206" s="1"/>
  <c r="J33" i="206"/>
  <c r="M82" i="206"/>
  <c r="M88" i="206" s="1"/>
  <c r="L27" i="206"/>
  <c r="K33" i="206"/>
  <c r="L66" i="206"/>
  <c r="L76" i="206" s="1"/>
  <c r="M12" i="208"/>
  <c r="J105" i="206"/>
  <c r="M35" i="206"/>
  <c r="M40" i="206" s="1"/>
  <c r="M124" i="206"/>
  <c r="M130" i="206" s="1"/>
  <c r="L64" i="205"/>
  <c r="L72" i="205"/>
  <c r="J86" i="205"/>
  <c r="L86" i="205"/>
  <c r="K76" i="205"/>
  <c r="K72" i="205"/>
  <c r="K91" i="205"/>
  <c r="K50" i="205"/>
  <c r="L91" i="205"/>
  <c r="K38" i="205"/>
  <c r="K64" i="205"/>
  <c r="J94" i="205"/>
  <c r="L94" i="205"/>
  <c r="J17" i="205"/>
  <c r="L17" i="205"/>
  <c r="J67" i="205"/>
  <c r="L67" i="205"/>
  <c r="J21" i="205"/>
  <c r="L21" i="205"/>
  <c r="L76" i="205"/>
  <c r="K46" i="205"/>
  <c r="L50" i="205"/>
  <c r="M40" i="208" l="1"/>
  <c r="M42" i="208"/>
  <c r="M64" i="205"/>
  <c r="M17" i="205"/>
  <c r="M31" i="208"/>
  <c r="M91" i="205"/>
  <c r="M11" i="205"/>
  <c r="M14" i="205" s="1"/>
  <c r="M21" i="206"/>
  <c r="L33" i="206"/>
  <c r="M27" i="206"/>
  <c r="M33" i="206" s="1"/>
  <c r="M8" i="206"/>
  <c r="L105" i="206"/>
  <c r="M93" i="206"/>
  <c r="M105" i="206" s="1"/>
  <c r="M66" i="206"/>
  <c r="M76" i="206" s="1"/>
  <c r="K21" i="205"/>
  <c r="K67" i="205"/>
  <c r="K94" i="205"/>
  <c r="K86" i="205"/>
  <c r="K17" i="205"/>
  <c r="I100" i="205"/>
  <c r="L156" i="206" l="1"/>
  <c r="M25" i="206"/>
  <c r="M16" i="206"/>
  <c r="M43" i="208"/>
  <c r="M45" i="208" s="1"/>
  <c r="J100" i="205"/>
  <c r="J101" i="205" s="1"/>
  <c r="K100" i="205"/>
  <c r="L100" i="205" s="1"/>
  <c r="L101" i="205" s="1"/>
  <c r="J53" i="205"/>
  <c r="L53" i="205"/>
  <c r="M100" i="205" l="1"/>
  <c r="M113" i="205" s="1"/>
  <c r="N42" i="215" s="1"/>
  <c r="K101" i="205"/>
  <c r="K53" i="205"/>
  <c r="N103" i="205"/>
  <c r="M101" i="205" l="1"/>
  <c r="I101" i="205"/>
  <c r="I53" i="205" l="1"/>
  <c r="D55" i="2"/>
  <c r="D58" i="2"/>
  <c r="D56" i="2"/>
  <c r="D54" i="2"/>
  <c r="D57" i="2"/>
  <c r="D60" i="2"/>
  <c r="D63" i="2"/>
  <c r="D62" i="2"/>
  <c r="D61" i="2"/>
  <c r="D59" i="2"/>
  <c r="D53" i="2"/>
  <c r="I8" i="207" l="1"/>
  <c r="I36" i="207" s="1"/>
  <c r="K8" i="207" l="1"/>
  <c r="K36" i="207" s="1"/>
  <c r="J8" i="207"/>
  <c r="J36" i="207" s="1"/>
  <c r="L8" i="207" l="1"/>
  <c r="L36" i="207" s="1"/>
  <c r="K55" i="205"/>
  <c r="I55" i="205"/>
  <c r="I56" i="205" s="1"/>
  <c r="I103" i="205" s="1"/>
  <c r="M8" i="207" l="1"/>
  <c r="M45" i="207" s="1"/>
  <c r="K56" i="205"/>
  <c r="K103" i="205" s="1"/>
  <c r="L55" i="205"/>
  <c r="L56" i="205" s="1"/>
  <c r="L103" i="205" s="1"/>
  <c r="J55" i="205"/>
  <c r="J56" i="205" s="1"/>
  <c r="J103" i="205" s="1"/>
  <c r="M48" i="207" l="1"/>
  <c r="E42" i="215" s="1"/>
  <c r="M36" i="207"/>
  <c r="M55" i="205"/>
  <c r="M112" i="205" s="1"/>
  <c r="M50" i="207" l="1"/>
  <c r="M56" i="205"/>
  <c r="M103" i="205" s="1"/>
  <c r="M114" i="205"/>
  <c r="M116" i="205" l="1"/>
  <c r="K135" i="206"/>
  <c r="L135" i="206" s="1"/>
  <c r="L136" i="206" s="1"/>
  <c r="L144" i="206" s="1"/>
  <c r="I135" i="206"/>
  <c r="I136" i="206" s="1"/>
  <c r="I144" i="206" l="1"/>
  <c r="J135" i="206"/>
  <c r="J136" i="206" s="1"/>
  <c r="J144" i="206" s="1"/>
  <c r="K136" i="206"/>
  <c r="K144" i="206" s="1"/>
  <c r="M135" i="206" l="1"/>
  <c r="L155" i="206" s="1"/>
  <c r="N40" i="215" s="1"/>
  <c r="N44" i="215" s="1"/>
  <c r="M136" i="206" l="1"/>
  <c r="M144" i="206" s="1"/>
  <c r="L157" i="206"/>
  <c r="E40" i="215" s="1"/>
  <c r="E44" i="215" s="1"/>
  <c r="L159" i="206" l="1"/>
</calcChain>
</file>

<file path=xl/sharedStrings.xml><?xml version="1.0" encoding="utf-8"?>
<sst xmlns="http://schemas.openxmlformats.org/spreadsheetml/2006/main" count="962" uniqueCount="500">
  <si>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</si>
  <si>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</si>
  <si>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</si>
  <si>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</si>
  <si>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</si>
  <si>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</si>
  <si>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</si>
  <si>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</si>
  <si>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</si>
  <si>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</si>
  <si>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</si>
  <si>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</si>
  <si>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</si>
  <si>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</si>
  <si>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</si>
  <si>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</si>
  <si>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</si>
  <si>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</si>
  <si>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</si>
  <si>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</si>
  <si>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</si>
  <si>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</si>
  <si>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</si>
  <si>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</si>
  <si>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</si>
  <si>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</si>
  <si>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 xml:space="preserve">                                     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</si>
  <si>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</si>
  <si>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</si>
  <si>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</si>
  <si>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</si>
  <si>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</si>
  <si>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</si>
  <si>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</si>
  <si>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</si>
  <si>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</si>
  <si>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</si>
  <si>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</si>
  <si>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</si>
  <si>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</si>
  <si>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</si>
  <si>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</si>
  <si>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</si>
  <si>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</si>
  <si>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</si>
  <si>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</si>
  <si>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</si>
  <si>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</si>
  <si>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</si>
  <si>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</si>
  <si>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</si>
  <si>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</si>
  <si>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</si>
  <si>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</si>
  <si>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</si>
  <si>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</si>
  <si>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</si>
  <si>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</si>
  <si>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</si>
  <si>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</si>
  <si>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</si>
  <si>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</si>
  <si>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</si>
  <si>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</si>
  <si>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</si>
  <si>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</si>
  <si>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</si>
  <si>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</si>
  <si>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</si>
  <si>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</si>
  <si>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Policía de Línea</t>
  </si>
  <si>
    <t>Barrendera</t>
  </si>
  <si>
    <t>Enc. Jardines</t>
  </si>
  <si>
    <t>Enc. De bomba</t>
  </si>
  <si>
    <t>Enc bomba Chora</t>
  </si>
  <si>
    <t>Médico Municipal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</si>
  <si>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</si>
  <si>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</si>
  <si>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</si>
  <si>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</si>
  <si>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</si>
  <si>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</si>
  <si>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</si>
  <si>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Desarrollo Urbano</t>
  </si>
  <si>
    <t>Aux. Legal</t>
  </si>
  <si>
    <t>Aux. Agropecuario</t>
  </si>
  <si>
    <t>Limpieza</t>
  </si>
  <si>
    <t>Paramédico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</si>
  <si>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</si>
  <si>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</si>
  <si>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</si>
  <si>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</si>
  <si>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</si>
  <si>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</si>
  <si>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</si>
  <si>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</si>
  <si>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</si>
  <si>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</si>
  <si>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</si>
  <si>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</si>
  <si>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</si>
  <si>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</si>
  <si>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</si>
  <si>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</si>
  <si>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</si>
  <si>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</si>
  <si>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</si>
  <si>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</si>
  <si>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</si>
  <si>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</si>
  <si>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</si>
  <si>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</si>
  <si>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</si>
  <si>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</si>
  <si>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</si>
  <si>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</si>
  <si>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</si>
  <si>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</si>
  <si>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</si>
  <si>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</si>
  <si>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</si>
  <si>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Dirección de la Juventud</t>
  </si>
  <si>
    <t>Sub-Total</t>
  </si>
  <si>
    <t>Aux. de turismo</t>
  </si>
  <si>
    <t>Encargado campo de futbol</t>
  </si>
  <si>
    <t xml:space="preserve">Recolector </t>
  </si>
  <si>
    <t>Encargado de bomba</t>
  </si>
  <si>
    <t>Barrendero plaza</t>
  </si>
  <si>
    <t>Barrendera Plaza</t>
  </si>
  <si>
    <t>Aseo delegación</t>
  </si>
  <si>
    <t>Promotor de deportes</t>
  </si>
  <si>
    <t>Jefe de Ingresos</t>
  </si>
  <si>
    <t>Jefa Egresos</t>
  </si>
  <si>
    <t>Secretario General</t>
  </si>
  <si>
    <t>Agente DARE</t>
  </si>
  <si>
    <t>Raúl Camberos Pizano</t>
  </si>
  <si>
    <t>APOYOS A INSTITUCIONES DE SALUD</t>
  </si>
  <si>
    <t>Aseo Centro de Salud Lucio Blanco</t>
  </si>
  <si>
    <t>Juana Salazar Flores</t>
  </si>
  <si>
    <t xml:space="preserve">Paramédico 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</si>
  <si>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</si>
  <si>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</si>
  <si>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</si>
  <si>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</si>
  <si>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</si>
  <si>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</si>
  <si>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</si>
  <si>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</si>
  <si>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</si>
  <si>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</si>
  <si>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</si>
  <si>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          C. D. José Ascensión Murguía Santiago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</si>
  <si>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</si>
  <si>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</si>
  <si>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</si>
  <si>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</si>
  <si>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</si>
  <si>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</si>
  <si>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MICA761107MJCRRN02</t>
  </si>
  <si>
    <t>PASR631118MJCRNB04</t>
  </si>
  <si>
    <t>ROFE660112MJCDLV04</t>
  </si>
  <si>
    <t>Luis Octavio García Grajeda</t>
  </si>
  <si>
    <t>Luis Angel Tamayo Guillen</t>
  </si>
  <si>
    <t>Jose de Jesús Gallo Torres</t>
  </si>
  <si>
    <t>REGISTRO CIVIL</t>
  </si>
  <si>
    <t>SEGURIDAD PUBLICA</t>
  </si>
  <si>
    <t>Román Murguía Rojas</t>
  </si>
  <si>
    <t>Irma Cecilia Fernandez Hernandez</t>
  </si>
  <si>
    <t>Capturista</t>
  </si>
  <si>
    <t>Asistente Administrativa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</si>
  <si>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</si>
  <si>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</si>
  <si>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</si>
  <si>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</si>
  <si>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Bombero BRAC</t>
  </si>
  <si>
    <t>Rigoberto Gonzalez Romero</t>
  </si>
  <si>
    <t>Antonia Vizcarra Hernandez</t>
  </si>
  <si>
    <t>Sub-Comisario</t>
  </si>
  <si>
    <t>Edgar Omar Lara Muñoz</t>
  </si>
  <si>
    <t>Juana Mendoza Moran</t>
  </si>
  <si>
    <t>Directora</t>
  </si>
  <si>
    <t>Comandante Operativo</t>
  </si>
  <si>
    <t>Ma. Del Carmen Solorzano Bautista</t>
  </si>
  <si>
    <t>Ma. de Jesús Contreras Lomelí</t>
  </si>
  <si>
    <t>Berenice Silva Zepeda</t>
  </si>
  <si>
    <t>Diego Antonio Moreno Maldonado</t>
  </si>
  <si>
    <t>Jose Refugio Carmona Martinez</t>
  </si>
  <si>
    <t>Jose Luis  Mendez Hernandez</t>
  </si>
  <si>
    <t>Fernando Fuentes Gonzalez</t>
  </si>
  <si>
    <t>Alexis Salvador Barajas Becerra</t>
  </si>
  <si>
    <t>Edgar Ulises Sandoval Bautista</t>
  </si>
  <si>
    <t>Abraham Horacio Campante Viorato</t>
  </si>
  <si>
    <t>Sandra Griselda Maldonado Gómez</t>
  </si>
  <si>
    <t>Jorge Leonardo Castro Garagarza</t>
  </si>
  <si>
    <t>Rosalio Siordia Flores</t>
  </si>
  <si>
    <t>Cristian Alexis Basilio Tapia</t>
  </si>
  <si>
    <t>Ma. Nancy Lucrecia Gallegos Alvarez</t>
  </si>
  <si>
    <t>Jesús Durán Enríquez</t>
  </si>
  <si>
    <t>Isacc Lupercio Beas</t>
  </si>
  <si>
    <t>María Guadalupe Sierra Camarena</t>
  </si>
  <si>
    <t>Osbaldo Anguiano Gutiérrez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</si>
  <si>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</si>
  <si>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</si>
  <si>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</si>
  <si>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</si>
  <si>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</si>
  <si>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</si>
  <si>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</si>
  <si>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</si>
  <si>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</si>
  <si>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</si>
  <si>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</si>
  <si>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</si>
  <si>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Raúl Flores Gallo</t>
  </si>
  <si>
    <t>Rafael Rosales Sánchez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</si>
  <si>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</si>
  <si>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</si>
  <si>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</si>
  <si>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</si>
  <si>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</si>
  <si>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</si>
  <si>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</si>
  <si>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</si>
  <si>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</si>
  <si>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</si>
  <si>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</si>
  <si>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Martha Gpe. Gómez Sánchez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</si>
  <si>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</si>
  <si>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</si>
  <si>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</si>
  <si>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</si>
  <si>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</si>
  <si>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</si>
  <si>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Ma. Gpe. Armenta Virgen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</si>
  <si>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</si>
  <si>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</si>
  <si>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</si>
  <si>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</si>
  <si>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</si>
  <si>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</si>
  <si>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</si>
  <si>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</si>
  <si>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</si>
  <si>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</si>
  <si>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</si>
  <si>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</si>
  <si>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</si>
  <si>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</si>
  <si>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 xml:space="preserve">Angelica Plasencia Ramirez </t>
  </si>
  <si>
    <t>Laura Elena Torres Ramirez</t>
  </si>
  <si>
    <t>Rosalba Márquez Camarena</t>
  </si>
  <si>
    <t>Rigoberto Santos Becerra</t>
  </si>
  <si>
    <t>Juan Carlos Saahugún Partida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</si>
  <si>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</si>
  <si>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</si>
  <si>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</si>
  <si>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</si>
  <si>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</si>
  <si>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</si>
  <si>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</si>
  <si>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Juan Miguel Herrera Pérez</t>
  </si>
  <si>
    <t>J. Jesús Velazquez Moya</t>
  </si>
  <si>
    <t>Juan Gabriel Tovar Salazar</t>
  </si>
  <si>
    <t>José de Jesús Murillo Sandoval</t>
  </si>
  <si>
    <t>Elena Anguiano Rubio</t>
  </si>
  <si>
    <t>Jaime Cristian Serrano Miramontes</t>
  </si>
  <si>
    <t>José Antonio Rivera Gallegos</t>
  </si>
  <si>
    <t>Ramiro Oliva Vázquez</t>
  </si>
  <si>
    <t>Adriana Aguilera Amaral</t>
  </si>
  <si>
    <t>María Elena Rodríguez Aldaz</t>
  </si>
  <si>
    <t>María Gpe. Hernández Gallegos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</si>
  <si>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</si>
  <si>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</si>
  <si>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</si>
  <si>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</si>
  <si>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</si>
  <si>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</si>
  <si>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</si>
  <si>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</si>
  <si>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</si>
  <si>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</si>
  <si>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</si>
  <si>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</si>
  <si>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</si>
  <si>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</si>
  <si>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</si>
  <si>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</si>
  <si>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Jessica Morán García</t>
  </si>
  <si>
    <t>Bernardette Casillas Santiago</t>
  </si>
  <si>
    <t>Sandra Erika Santos Becerra</t>
  </si>
  <si>
    <t>Oscar Eduardo Torres Celis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</si>
  <si>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</si>
  <si>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</si>
  <si>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</si>
  <si>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</si>
  <si>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</si>
  <si>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José Manuel Anguiano Miramontes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</si>
  <si>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</si>
  <si>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</si>
  <si>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</si>
  <si>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</si>
  <si>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</si>
  <si>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</si>
  <si>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</si>
  <si>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</si>
  <si>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</si>
  <si>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</si>
  <si>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</si>
  <si>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</si>
  <si>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Lizbeth Oliva Flores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</si>
  <si>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</si>
  <si>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</si>
  <si>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</si>
  <si>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</si>
  <si>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</si>
  <si>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</si>
  <si>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</si>
  <si>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Andrés Hernández Torres</t>
  </si>
  <si>
    <t>Fernando Guadalupe Rodríguez Rosales</t>
  </si>
  <si>
    <t>Simón Alberto Lara Aguilera</t>
  </si>
  <si>
    <t>Juan Manuel Tortoledo González</t>
  </si>
  <si>
    <t>Alan Carrillo Estrada</t>
  </si>
  <si>
    <t>María Juana Romo Rodríguez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</si>
  <si>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</si>
  <si>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</si>
  <si>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</si>
  <si>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</si>
  <si>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</si>
  <si>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</si>
  <si>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>Lorena Torres Paredes</t>
  </si>
  <si>
    <t>Prudencio Aguayo Dueñas</t>
  </si>
  <si>
    <t>Laura Martínez Santiago</t>
  </si>
  <si>
    <t>Benjamin de Jesús Muñóz Cardona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</si>
  <si>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</si>
  <si>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</si>
  <si>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</si>
  <si>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</si>
  <si>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</si>
  <si>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</si>
  <si>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</si>
  <si>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</si>
  <si>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</si>
  <si>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</si>
  <si>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</si>
  <si>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</si>
  <si>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</si>
  <si>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</si>
  <si>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</si>
  <si>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Limpieza Parque Montecalvario</t>
  </si>
  <si>
    <t>David Gonzalez Rosales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</si>
  <si>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</si>
  <si>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</si>
  <si>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</si>
  <si>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</si>
  <si>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</si>
  <si>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</si>
  <si>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</si>
  <si>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</si>
  <si>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</si>
  <si>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</si>
  <si>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</si>
  <si>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</si>
  <si>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</si>
  <si>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</si>
  <si>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</si>
  <si>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 xml:space="preserve">                                                        C.D. JOSÉ ASCENCIÓN MURGUIA SANTIAGO</t>
  </si>
  <si>
    <t>PROTECCION CIVIL</t>
  </si>
  <si>
    <t>PERSONAL DE BASE    (113)</t>
  </si>
  <si>
    <t>PERSONAL EVENTUAL:    (122)</t>
  </si>
  <si>
    <t>DIF</t>
  </si>
  <si>
    <t>TOTAL</t>
  </si>
  <si>
    <t>Noel Ramos Luna</t>
  </si>
  <si>
    <t>EJERCICIO 2023</t>
  </si>
  <si>
    <t>TABLAS PUBLICADAS EL 27 DE DICIEMBRE DE 2022</t>
  </si>
  <si>
    <t>TARIFAS VIGENTES 2023</t>
  </si>
  <si>
    <t>Subsidio al Empleo</t>
  </si>
  <si>
    <t>ISR Salarios</t>
  </si>
  <si>
    <t>DESARROLLO AGROPECUARIO</t>
  </si>
  <si>
    <t>C.D. JOSÉ ASCENCIÓN MURGUIA SANTIAGO</t>
  </si>
  <si>
    <t>José Ascención Murguía Santiago</t>
  </si>
  <si>
    <t xml:space="preserve">Francisco Moran Ballesteros </t>
  </si>
  <si>
    <t>MEMJ651006MJCNRN07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</si>
  <si>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</si>
  <si>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</si>
  <si>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</si>
  <si>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</si>
  <si>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</si>
  <si>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</si>
  <si>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</si>
  <si>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</si>
  <si>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</si>
  <si>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</si>
  <si>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</si>
  <si>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</si>
  <si>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</si>
  <si>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</si>
  <si>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</si>
  <si>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</si>
  <si>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</si>
  <si>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</si>
  <si>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</si>
  <si>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</si>
  <si>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</si>
  <si>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</si>
  <si>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</si>
  <si>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</si>
  <si>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</si>
  <si>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</si>
  <si>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</si>
  <si>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</si>
  <si>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</si>
  <si>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</si>
  <si>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</si>
  <si>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</si>
  <si>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</si>
  <si>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</si>
  <si>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</si>
  <si>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</si>
  <si>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</si>
  <si>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</si>
  <si>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</si>
  <si>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</si>
  <si>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</si>
  <si>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>C.D. José Ascensión Murguía Santiago</t>
  </si>
  <si>
    <t xml:space="preserve">       ENC. DE LA HACIENDA PUBLICA</t>
  </si>
  <si>
    <t>Monica Lizeth Moran Tapia</t>
  </si>
  <si>
    <t xml:space="preserve">  </t>
  </si>
  <si>
    <t>Angel Ricardo Medina Calvillo</t>
  </si>
  <si>
    <t>Maria Taide Rodriguez Santos</t>
  </si>
  <si>
    <t>Aseo Centro de Salud Municipal</t>
  </si>
  <si>
    <t>EF</t>
  </si>
  <si>
    <t>Cristian Alexander Rodriguez Gutierrez</t>
  </si>
  <si>
    <t>Jose de Jesus Vaca Covarrubias</t>
  </si>
  <si>
    <t>Auxiliar Secretario General</t>
  </si>
  <si>
    <t>Jorge Oswaldo Becerra Gomez</t>
  </si>
  <si>
    <t>Salvador Alejandro Barajas Torres</t>
  </si>
  <si>
    <t>Recaudadora de Agua Potable</t>
  </si>
  <si>
    <t>Maria del Refugio Sanchez Ortega</t>
  </si>
  <si>
    <t>Sandra Alonso Hernandez</t>
  </si>
  <si>
    <t>José de Jesús Zepeda Sánchez</t>
  </si>
  <si>
    <t>Irene Oliva Reyes</t>
  </si>
  <si>
    <t>]</t>
  </si>
  <si>
    <t>Erica Daniela Plascencia Nava</t>
  </si>
  <si>
    <t>Jose Roman Trinidad Ramirez</t>
  </si>
  <si>
    <t>Alma Rosa Sanchez Ortega</t>
  </si>
  <si>
    <t>Cesar Ismael Sigala Garcia</t>
  </si>
  <si>
    <t>Jonatan Abraham Ruiz Rosales</t>
  </si>
  <si>
    <t>Imelda Virgen Perez</t>
  </si>
  <si>
    <t>Johnny Alberto Ramos Ureña</t>
  </si>
  <si>
    <t>Operador de Maquinaria</t>
  </si>
  <si>
    <t>Daniel Efrain Alvarez Torres</t>
  </si>
  <si>
    <t>Guadalupe del Consuelo Perez Mancillas</t>
  </si>
  <si>
    <t>Sara Noemi Lopez Ruvalcaba</t>
  </si>
  <si>
    <t>Jose Armando Ibarra Becerra</t>
  </si>
  <si>
    <t>Angel Gabriel Abundiz Hernandez</t>
  </si>
  <si>
    <t>Aldo Flores Bello</t>
  </si>
  <si>
    <t>Bartolome Ramon Ledezma Curiel</t>
  </si>
  <si>
    <t>Samantha Leon Lopez</t>
  </si>
  <si>
    <t>Luis Alberto Rivera Ulloa</t>
  </si>
  <si>
    <t>Gabriel Villalobos Moran</t>
  </si>
  <si>
    <t>Juan Diego Covarrubias Aceves</t>
  </si>
  <si>
    <t>Juan Alfredo Veliz Frias</t>
  </si>
  <si>
    <t>Sandra Yamary Anguiano Valdez</t>
  </si>
  <si>
    <t>Avelino Trigueros Salazar</t>
  </si>
  <si>
    <t>Jose Carlos Contreras Regalado</t>
  </si>
  <si>
    <t>Paola Esmeralda Flores Cocolan</t>
  </si>
  <si>
    <t>Aseo en el rio</t>
  </si>
  <si>
    <t>Jenifer Rosario Nuñez Vargas</t>
  </si>
  <si>
    <t>Ana Grajeda Olvera</t>
  </si>
  <si>
    <t>Andrea Yareli Perez Robles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</si>
  <si>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</si>
  <si>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</si>
  <si>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</si>
  <si>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</si>
  <si>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</si>
  <si>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</si>
  <si>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</si>
  <si>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Alfonso Chavez Saavedra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</si>
  <si>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</si>
  <si>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</si>
  <si>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</si>
  <si>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</si>
  <si>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</si>
  <si>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</si>
  <si>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</si>
  <si>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</si>
  <si>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</si>
  <si>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</si>
  <si>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</si>
  <si>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</si>
  <si>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PRIMERA QUINCENA DE OCTUBRE DEL 2023</t>
  </si>
  <si>
    <t>Jose Macario Lopez Alvarez</t>
  </si>
  <si>
    <t>Manuel Rodriguez Muñoz</t>
  </si>
  <si>
    <t>Griselda Lara Sanchez</t>
  </si>
  <si>
    <t>Encargado de invernadero municipal</t>
  </si>
  <si>
    <t>Javier Alejandro Solorzano Meza</t>
  </si>
  <si>
    <t xml:space="preserve">                                         PERIODO DE PAGO: SEGUNDA QUINCENA DE OCTUBRE DEL 2023</t>
  </si>
  <si>
    <t>NOMINA DEL 16 AL 31 DE OCTUBRE DEL 2023</t>
  </si>
  <si>
    <t>PERIODO DE PAGO: SEGUNDA QUINCENA DE OCTUBRE DEL 2023</t>
  </si>
  <si>
    <t xml:space="preserve">PERIODO DE PAGO: SEGUNDA QUINCENA DE OCTUBRE DEL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</si>
</sst>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8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0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1" fontId="19" fillId="0" borderId="0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43" fontId="1" fillId="3" borderId="0" xfId="2" applyFont="1" applyFill="1" applyProtection="1"/>
    <xf numFmtId="0" fontId="17" fillId="3" borderId="0" xfId="0" applyFont="1" applyFill="1"/>
    <xf numFmtId="43" fontId="17" fillId="3" borderId="0" xfId="2" applyFont="1" applyFill="1" applyProtection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4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>
      <alignment horizontal="left" vertical="center" wrapText="1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left" vertical="center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43" fontId="19" fillId="0" borderId="27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34" xfId="2" applyNumberFormat="1" applyFont="1" applyFill="1" applyBorder="1" applyAlignment="1" applyProtection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0" fontId="17" fillId="0" borderId="22" xfId="0" applyFont="1" applyBorder="1"/>
    <xf numFmtId="165" fontId="18" fillId="0" borderId="0" xfId="0" applyNumberFormat="1" applyFont="1"/>
    <xf numFmtId="165" fontId="2" fillId="0" borderId="25" xfId="2" applyNumberFormat="1" applyFont="1" applyFill="1" applyBorder="1" applyAlignment="1" applyProtection="1">
      <alignment horizontal="right" vertical="center"/>
    </xf>
    <xf numFmtId="0" fontId="1" fillId="0" borderId="22" xfId="0" applyFont="1" applyBorder="1" applyAlignment="1">
      <alignment vertical="center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43" fontId="18" fillId="0" borderId="23" xfId="2" applyFont="1" applyBorder="1"/>
    <xf numFmtId="43" fontId="1" fillId="0" borderId="4" xfId="2" applyFont="1" applyFill="1" applyBorder="1" applyAlignment="1" applyProtection="1">
      <alignment horizontal="right" vertical="center"/>
    </xf>
    <xf numFmtId="43" fontId="1" fillId="0" borderId="4" xfId="2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2" fontId="18" fillId="0" borderId="17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2" fontId="18" fillId="0" borderId="4" xfId="2" applyNumberFormat="1" applyFont="1" applyFill="1" applyBorder="1" applyAlignment="1" applyProtection="1">
      <alignment horizontal="center" vertical="center"/>
      <protection locked="0"/>
    </xf>
    <xf numFmtId="2" fontId="19" fillId="0" borderId="0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8" fillId="0" borderId="0" xfId="0" applyFont="1"/>
    <xf numFmtId="165" fontId="1" fillId="0" borderId="35" xfId="2" applyNumberFormat="1" applyFont="1" applyFill="1" applyBorder="1" applyAlignment="1" applyProtection="1">
      <alignment horizontal="center"/>
    </xf>
    <xf numFmtId="166" fontId="1" fillId="0" borderId="35" xfId="2" applyNumberFormat="1" applyFont="1" applyFill="1" applyBorder="1" applyAlignment="1" applyProtection="1">
      <alignment horizontal="center"/>
      <protection locked="0"/>
    </xf>
    <xf numFmtId="165" fontId="1" fillId="0" borderId="35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5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8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8" fillId="0" borderId="4" xfId="0" applyFont="1" applyBorder="1" applyAlignment="1">
      <alignment vertic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3" fontId="1" fillId="0" borderId="4" xfId="2" applyFont="1" applyFill="1" applyBorder="1" applyAlignment="1" applyProtection="1">
      <alignment horizontal="center" vertical="center" wrapText="1"/>
      <protection locked="0"/>
    </xf>
    <xf numFmtId="43" fontId="19" fillId="0" borderId="14" xfId="2" applyFont="1" applyBorder="1" applyAlignment="1" applyProtection="1">
      <alignment horizontal="center" vertical="center" wrapText="1"/>
    </xf>
    <xf numFmtId="2" fontId="19" fillId="0" borderId="14" xfId="2" applyNumberFormat="1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9" fillId="0" borderId="23" xfId="0" applyFont="1" applyBorder="1" applyAlignment="1">
      <alignment horizontal="left"/>
    </xf>
    <xf numFmtId="0" fontId="30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5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3A81-5995-4C57-BCD2-31D4AA39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431" y="267419"/>
          <a:ext cx="1187225" cy="11315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F6BFD6-AC68-489F-9227-48F8006E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99" y="273708"/>
          <a:ext cx="1178388" cy="1116723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8A6722-A48C-4222-884C-853E3AD1E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17" y="266965"/>
          <a:ext cx="1187225" cy="1133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Nominas/Nominas%202022/DICIEMBRE/NOMINA%201RA%20DE%20DIC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Nominas\Nominas%202023\SEPTIEMBRE\NOMINA%202DA%20SEPTIEMBRE%202023.xlsx" TargetMode="External"/><Relationship Id="rId1" Type="http://schemas.openxmlformats.org/officeDocument/2006/relationships/externalLinkPath" Target="/Users/DELL/Desktop/Nominas/Nominas%202023/SEPTIEMBRE/NOMINA%202DA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"/>
      <sheetName val="REGIDORES"/>
      <sheetName val="BASE"/>
      <sheetName val="EVENTUALES"/>
      <sheetName val="PENSIONADOS"/>
      <sheetName val="SEG. PUBLICA"/>
      <sheetName val="PROT.CIVIL"/>
      <sheetName val="Apoyos "/>
      <sheetName val="Calculo ISPT 2018 quince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Y17">
            <v>0.01</v>
          </cell>
          <cell r="Z17">
            <v>0</v>
          </cell>
          <cell r="AA17">
            <v>1.9199999999999998E-2</v>
          </cell>
          <cell r="AG17">
            <v>0.01</v>
          </cell>
          <cell r="AH17">
            <v>200.85</v>
          </cell>
        </row>
        <row r="18">
          <cell r="Y18">
            <v>318.01</v>
          </cell>
          <cell r="Z18">
            <v>6.15</v>
          </cell>
          <cell r="AA18">
            <v>6.4000000000000001E-2</v>
          </cell>
          <cell r="AG18">
            <v>872.86</v>
          </cell>
          <cell r="AH18">
            <v>200.7</v>
          </cell>
        </row>
        <row r="19">
          <cell r="Y19">
            <v>2699.41</v>
          </cell>
          <cell r="Z19">
            <v>158.55000000000001</v>
          </cell>
          <cell r="AA19">
            <v>0.10879999999999999</v>
          </cell>
          <cell r="AG19">
            <v>1309.21</v>
          </cell>
          <cell r="AH19">
            <v>200.7</v>
          </cell>
        </row>
        <row r="20">
          <cell r="Y20">
            <v>4744.0600000000004</v>
          </cell>
          <cell r="Z20">
            <v>381</v>
          </cell>
          <cell r="AA20">
            <v>0.16</v>
          </cell>
          <cell r="AG20">
            <v>1713.61</v>
          </cell>
          <cell r="AH20">
            <v>193.8</v>
          </cell>
        </row>
        <row r="21">
          <cell r="Y21">
            <v>5514.76</v>
          </cell>
          <cell r="Z21">
            <v>504.3</v>
          </cell>
          <cell r="AA21">
            <v>0.1792</v>
          </cell>
          <cell r="AG21">
            <v>1745.71</v>
          </cell>
          <cell r="AH21">
            <v>188.7</v>
          </cell>
        </row>
        <row r="22">
          <cell r="Y22">
            <v>6602.71</v>
          </cell>
          <cell r="Z22">
            <v>699.3</v>
          </cell>
          <cell r="AA22">
            <v>0.21360000000000001</v>
          </cell>
          <cell r="AG22">
            <v>2193.7600000000002</v>
          </cell>
          <cell r="AH22">
            <v>174.75</v>
          </cell>
        </row>
        <row r="23">
          <cell r="Y23">
            <v>13316.71</v>
          </cell>
          <cell r="Z23">
            <v>2133.3000000000002</v>
          </cell>
          <cell r="AA23">
            <v>0.23519999999999999</v>
          </cell>
          <cell r="AG23">
            <v>2327.56</v>
          </cell>
          <cell r="AH23">
            <v>160.35</v>
          </cell>
        </row>
        <row r="24">
          <cell r="Y24">
            <v>20988.91</v>
          </cell>
          <cell r="Z24">
            <v>3937.8</v>
          </cell>
          <cell r="AA24">
            <v>0.3</v>
          </cell>
          <cell r="AG24">
            <v>2632.66</v>
          </cell>
          <cell r="AH24">
            <v>145.35</v>
          </cell>
        </row>
        <row r="25">
          <cell r="Y25">
            <v>40071.31</v>
          </cell>
          <cell r="Z25">
            <v>9662.5499999999993</v>
          </cell>
          <cell r="AA25">
            <v>0.32</v>
          </cell>
          <cell r="AG25">
            <v>3071.41</v>
          </cell>
          <cell r="AH25">
            <v>125.1</v>
          </cell>
        </row>
        <row r="26">
          <cell r="Y26">
            <v>53428.51</v>
          </cell>
          <cell r="Z26">
            <v>13936.8</v>
          </cell>
          <cell r="AA26">
            <v>0.34</v>
          </cell>
          <cell r="AG26">
            <v>3510.16</v>
          </cell>
          <cell r="AH26">
            <v>107.4</v>
          </cell>
        </row>
        <row r="27">
          <cell r="Y27">
            <v>160285.35999999999</v>
          </cell>
          <cell r="Z27">
            <v>50268.15</v>
          </cell>
          <cell r="AA27">
            <v>0.35</v>
          </cell>
          <cell r="AG27">
            <v>3642.61</v>
          </cell>
          <cell r="AH2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a"/>
      <sheetName val="BASE"/>
      <sheetName val="EVENTUALES"/>
      <sheetName val="PENSIONADOS"/>
      <sheetName val="Apoyos "/>
      <sheetName val="SEG. PUBLICA"/>
      <sheetName val="PROT.CIVIL"/>
    </sheetNames>
    <sheetDataSet>
      <sheetData sheetId="0">
        <row r="13">
          <cell r="B13">
            <v>0.01</v>
          </cell>
          <cell r="C13">
            <v>0</v>
          </cell>
          <cell r="D13">
            <v>1.9199999999999998E-2</v>
          </cell>
          <cell r="F13">
            <v>0.01</v>
          </cell>
          <cell r="G13">
            <v>407.02</v>
          </cell>
        </row>
        <row r="14">
          <cell r="B14">
            <v>746.05</v>
          </cell>
          <cell r="C14">
            <v>14.32</v>
          </cell>
          <cell r="D14">
            <v>6.4000000000000001E-2</v>
          </cell>
          <cell r="F14">
            <v>1768.97</v>
          </cell>
          <cell r="G14">
            <v>406.83</v>
          </cell>
        </row>
        <row r="15">
          <cell r="B15">
            <v>6332.06</v>
          </cell>
          <cell r="C15">
            <v>371.83</v>
          </cell>
          <cell r="D15">
            <v>0.10879999999999999</v>
          </cell>
          <cell r="F15">
            <v>2653.39</v>
          </cell>
          <cell r="G15">
            <v>406.62</v>
          </cell>
        </row>
        <row r="16">
          <cell r="B16">
            <v>11128.02</v>
          </cell>
          <cell r="C16">
            <v>893.63</v>
          </cell>
          <cell r="D16">
            <v>0.16</v>
          </cell>
          <cell r="F16">
            <v>3472.85</v>
          </cell>
          <cell r="G16">
            <v>392.77</v>
          </cell>
        </row>
        <row r="17">
          <cell r="B17">
            <v>12935.83</v>
          </cell>
          <cell r="C17">
            <v>1182.8800000000001</v>
          </cell>
          <cell r="D17">
            <v>0.1792</v>
          </cell>
          <cell r="F17">
            <v>3537.88</v>
          </cell>
          <cell r="G17">
            <v>382.46</v>
          </cell>
        </row>
        <row r="18">
          <cell r="B18">
            <v>15487.72</v>
          </cell>
          <cell r="C18">
            <v>1640.18</v>
          </cell>
          <cell r="D18">
            <v>0.21360000000000001</v>
          </cell>
          <cell r="F18">
            <v>4446.16</v>
          </cell>
          <cell r="G18">
            <v>354.23</v>
          </cell>
        </row>
        <row r="19">
          <cell r="B19">
            <v>31236.5</v>
          </cell>
          <cell r="C19">
            <v>5004.12</v>
          </cell>
          <cell r="D19">
            <v>0.23519999999999999</v>
          </cell>
          <cell r="F19">
            <v>4717.1899999999996</v>
          </cell>
          <cell r="G19">
            <v>324.87</v>
          </cell>
        </row>
        <row r="20">
          <cell r="B20">
            <v>49233.01</v>
          </cell>
          <cell r="C20">
            <v>9236.89</v>
          </cell>
          <cell r="D20">
            <v>0.3</v>
          </cell>
          <cell r="F20">
            <v>5335.43</v>
          </cell>
          <cell r="G20">
            <v>294.63</v>
          </cell>
        </row>
        <row r="21">
          <cell r="B21">
            <v>93993.91</v>
          </cell>
          <cell r="C21">
            <v>22665.17</v>
          </cell>
          <cell r="D21">
            <v>0.32</v>
          </cell>
          <cell r="F21">
            <v>6224.68</v>
          </cell>
          <cell r="G21">
            <v>253.54</v>
          </cell>
        </row>
        <row r="22">
          <cell r="B22">
            <v>125325.21</v>
          </cell>
          <cell r="C22">
            <v>32691.18</v>
          </cell>
          <cell r="D22">
            <v>0.34</v>
          </cell>
          <cell r="F22">
            <v>7113.91</v>
          </cell>
          <cell r="G22">
            <v>217.61</v>
          </cell>
        </row>
        <row r="23">
          <cell r="B23">
            <v>375975.62</v>
          </cell>
          <cell r="C23">
            <v>117912.32000000001</v>
          </cell>
          <cell r="D23">
            <v>0.35</v>
          </cell>
          <cell r="F23">
            <v>7382.34</v>
          </cell>
          <cell r="G2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13" sqref="F13:G23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27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372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1" t="s">
        <v>4</v>
      </c>
      <c r="C7" s="371"/>
      <c r="D7" s="371"/>
      <c r="E7" s="8"/>
      <c r="F7" s="372" t="s">
        <v>19</v>
      </c>
      <c r="G7" s="373"/>
    </row>
    <row r="8" spans="1:7" ht="14.25" customHeight="1" x14ac:dyDescent="0.2">
      <c r="B8" s="374" t="s">
        <v>3</v>
      </c>
      <c r="C8" s="374"/>
      <c r="D8" s="374"/>
      <c r="E8" s="8"/>
      <c r="F8" s="375" t="s">
        <v>20</v>
      </c>
      <c r="G8" s="376"/>
    </row>
    <row r="9" spans="1:7" ht="8.25" customHeight="1" x14ac:dyDescent="0.2">
      <c r="B9" s="368"/>
      <c r="C9" s="368"/>
      <c r="D9" s="368"/>
      <c r="E9" s="8"/>
      <c r="F9" s="369"/>
      <c r="G9" s="370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373</v>
      </c>
      <c r="C34" s="8"/>
      <c r="D34" s="8"/>
    </row>
    <row r="35" spans="2:7" x14ac:dyDescent="0.2">
      <c r="B35" s="23" t="s">
        <v>374</v>
      </c>
      <c r="C35" s="8"/>
      <c r="D35" s="8"/>
    </row>
    <row r="44" spans="2:7" ht="17.25" customHeight="1" x14ac:dyDescent="0.2">
      <c r="B44" s="6" t="s">
        <v>18</v>
      </c>
      <c r="E44" s="8"/>
      <c r="F44" s="372" t="s">
        <v>23</v>
      </c>
      <c r="G44" s="373"/>
    </row>
    <row r="45" spans="2:7" x14ac:dyDescent="0.2">
      <c r="E45" s="8"/>
      <c r="F45" s="375" t="s">
        <v>24</v>
      </c>
      <c r="G45" s="376"/>
    </row>
    <row r="46" spans="2:7" ht="5.25" customHeight="1" x14ac:dyDescent="0.2">
      <c r="E46" s="8"/>
      <c r="F46" s="369"/>
      <c r="G46" s="370"/>
    </row>
    <row r="47" spans="2:7" x14ac:dyDescent="0.2">
      <c r="B47" s="371" t="s">
        <v>4</v>
      </c>
      <c r="C47" s="371"/>
      <c r="D47" s="371"/>
      <c r="E47" s="8"/>
      <c r="F47" s="10" t="s">
        <v>10</v>
      </c>
      <c r="G47" s="10" t="s">
        <v>11</v>
      </c>
    </row>
    <row r="48" spans="2:7" x14ac:dyDescent="0.2">
      <c r="B48" s="374" t="s">
        <v>3</v>
      </c>
      <c r="C48" s="374"/>
      <c r="D48" s="374"/>
      <c r="E48" s="8"/>
      <c r="F48" s="10"/>
      <c r="G48" s="10" t="s">
        <v>12</v>
      </c>
    </row>
    <row r="49" spans="2:7" x14ac:dyDescent="0.2">
      <c r="B49" s="368"/>
      <c r="C49" s="368"/>
      <c r="D49" s="368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BB98-DECB-4876-B8AC-ECD962960016}">
  <sheetPr>
    <pageSetUpPr fitToPage="1"/>
  </sheetPr>
  <dimension ref="A1:O44"/>
  <sheetViews>
    <sheetView showGridLines="0" topLeftCell="B1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65" customWidth="1"/>
    <col min="5" max="5" width="11.140625" style="5" bestFit="1" customWidth="1"/>
    <col min="6" max="6" width="22.42578125" style="5" customWidth="1"/>
    <col min="7" max="7" width="5.42578125" style="5" bestFit="1" customWidth="1"/>
    <col min="8" max="8" width="7.85546875" style="5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11.710937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322"/>
      <c r="C1" s="323"/>
      <c r="D1" s="324"/>
      <c r="E1" s="323"/>
      <c r="F1" s="323"/>
      <c r="G1" s="323"/>
      <c r="H1" s="323"/>
      <c r="I1" s="325"/>
      <c r="J1" s="323"/>
      <c r="K1" s="323"/>
      <c r="L1" s="323"/>
      <c r="M1" s="323"/>
      <c r="N1" s="323"/>
      <c r="O1" s="326"/>
    </row>
    <row r="2" spans="1:15" ht="18.75" x14ac:dyDescent="0.3">
      <c r="B2" s="327"/>
      <c r="C2" s="49"/>
      <c r="D2" s="97"/>
      <c r="E2" s="377" t="s">
        <v>470</v>
      </c>
      <c r="F2" s="377"/>
      <c r="G2" s="377"/>
      <c r="H2" s="377"/>
      <c r="I2" s="377"/>
      <c r="J2" s="377"/>
      <c r="K2" s="377"/>
      <c r="L2" s="377"/>
      <c r="M2" s="377"/>
      <c r="N2" s="377"/>
      <c r="O2" s="378"/>
    </row>
    <row r="3" spans="1:15" x14ac:dyDescent="0.2">
      <c r="B3" s="327"/>
      <c r="C3" s="49"/>
      <c r="D3" s="45"/>
      <c r="E3" s="49"/>
      <c r="F3" s="49"/>
      <c r="G3" s="49"/>
      <c r="H3" s="49"/>
      <c r="I3" s="328"/>
      <c r="J3" s="49"/>
      <c r="K3" s="49"/>
      <c r="L3" s="49"/>
      <c r="M3" s="49"/>
      <c r="N3" s="49"/>
      <c r="O3" s="329"/>
    </row>
    <row r="4" spans="1:15" ht="27.75" customHeight="1" x14ac:dyDescent="0.4">
      <c r="B4" s="327"/>
      <c r="C4" s="49"/>
      <c r="D4" s="45"/>
      <c r="E4" s="379"/>
      <c r="F4" s="379"/>
      <c r="G4" s="49"/>
      <c r="H4" s="49"/>
      <c r="I4" s="328"/>
      <c r="J4" s="49"/>
      <c r="K4" s="49"/>
      <c r="L4" s="49"/>
      <c r="M4" s="49"/>
      <c r="N4" s="49"/>
      <c r="O4" s="329"/>
    </row>
    <row r="5" spans="1:15" x14ac:dyDescent="0.2">
      <c r="B5" s="327"/>
      <c r="C5" s="49"/>
      <c r="D5" s="45"/>
      <c r="E5" s="49"/>
      <c r="F5" s="49"/>
      <c r="G5" s="49"/>
      <c r="H5" s="49"/>
      <c r="I5" s="328"/>
      <c r="J5" s="49"/>
      <c r="K5" s="49"/>
      <c r="L5" s="49"/>
      <c r="M5" s="49"/>
      <c r="N5" s="49"/>
      <c r="O5" s="329"/>
    </row>
    <row r="6" spans="1:15" ht="18" x14ac:dyDescent="0.2">
      <c r="B6" s="327"/>
      <c r="C6" s="49"/>
      <c r="D6" s="45"/>
      <c r="E6" s="49"/>
      <c r="F6" s="330" t="s">
        <v>471</v>
      </c>
      <c r="G6" s="49"/>
      <c r="H6" s="49"/>
      <c r="I6" s="328"/>
      <c r="J6" s="49"/>
      <c r="K6" s="49"/>
      <c r="L6" s="49"/>
      <c r="M6" s="49"/>
      <c r="N6" s="49"/>
      <c r="O6" s="329"/>
    </row>
    <row r="7" spans="1:15" x14ac:dyDescent="0.2">
      <c r="B7" s="327"/>
      <c r="C7" s="49"/>
      <c r="D7" s="45"/>
      <c r="E7" s="49"/>
      <c r="F7" s="49"/>
      <c r="G7" s="49"/>
      <c r="H7" s="49"/>
      <c r="I7" s="328"/>
      <c r="J7" s="49"/>
      <c r="K7" s="49"/>
      <c r="L7" s="49"/>
      <c r="M7" s="49"/>
      <c r="N7" s="49"/>
      <c r="O7" s="329"/>
    </row>
    <row r="8" spans="1:15" ht="30" customHeight="1" x14ac:dyDescent="0.2">
      <c r="B8" s="331"/>
      <c r="C8" s="247"/>
      <c r="D8" s="332"/>
      <c r="E8" s="333"/>
      <c r="F8" s="334" t="s">
        <v>472</v>
      </c>
      <c r="G8" s="380" t="s">
        <v>490</v>
      </c>
      <c r="H8" s="380"/>
      <c r="I8" s="380"/>
      <c r="J8" s="380"/>
      <c r="K8" s="380"/>
      <c r="L8" s="380"/>
      <c r="M8" s="380"/>
      <c r="N8" s="334"/>
      <c r="O8" s="335"/>
    </row>
    <row r="9" spans="1:15" s="343" customFormat="1" ht="38.25" x14ac:dyDescent="0.2">
      <c r="A9" s="5"/>
      <c r="B9" s="336" t="s">
        <v>357</v>
      </c>
      <c r="C9" s="337" t="s">
        <v>430</v>
      </c>
      <c r="D9" s="338" t="s">
        <v>14</v>
      </c>
      <c r="E9" s="338" t="s">
        <v>351</v>
      </c>
      <c r="F9" s="338" t="s">
        <v>352</v>
      </c>
      <c r="G9" s="338">
        <v>0</v>
      </c>
      <c r="H9" s="338" t="s">
        <v>356</v>
      </c>
      <c r="I9" s="339" t="s">
        <v>353</v>
      </c>
      <c r="J9" s="338" t="s">
        <v>375</v>
      </c>
      <c r="K9" s="338" t="s">
        <v>376</v>
      </c>
      <c r="L9" s="340" t="s">
        <v>473</v>
      </c>
      <c r="M9" s="340" t="s">
        <v>354</v>
      </c>
      <c r="N9" s="341" t="s">
        <v>350</v>
      </c>
      <c r="O9" s="342" t="s">
        <v>361</v>
      </c>
    </row>
    <row r="10" spans="1:15" s="29" customFormat="1" ht="30" customHeight="1" x14ac:dyDescent="0.2">
      <c r="A10" s="5"/>
      <c r="B10" s="344">
        <v>1</v>
      </c>
      <c r="C10" s="345" t="s">
        <v>430</v>
      </c>
      <c r="D10" s="346" t="s">
        <v>474</v>
      </c>
      <c r="E10" s="346" t="s">
        <v>475</v>
      </c>
      <c r="F10" s="346"/>
      <c r="G10" s="90">
        <v>15</v>
      </c>
      <c r="H10" s="347">
        <v>597.79999999999995</v>
      </c>
      <c r="I10" s="348">
        <f>ROUND(G10*H10,2)</f>
        <v>8967</v>
      </c>
      <c r="J10" s="349">
        <f t="shared" ref="J10:J19" si="0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349">
        <f t="shared" ref="K10:K19" si="1">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</f>
        <v>1092.33</v>
      </c>
      <c r="L10" s="350">
        <v>0</v>
      </c>
      <c r="M10" s="351">
        <f>K11+L10</f>
        <v>1092.33</v>
      </c>
      <c r="N10" s="352">
        <f>I10-M10</f>
        <v>7874.67</v>
      </c>
      <c r="O10" s="353"/>
    </row>
    <row r="11" spans="1:15" s="29" customFormat="1" ht="30" customHeight="1" x14ac:dyDescent="0.2">
      <c r="A11" s="5"/>
      <c r="B11" s="344">
        <v>2</v>
      </c>
      <c r="C11" s="345" t="s">
        <v>430</v>
      </c>
      <c r="D11" s="346" t="s">
        <v>476</v>
      </c>
      <c r="E11" s="346" t="s">
        <v>475</v>
      </c>
      <c r="F11" s="354"/>
      <c r="G11" s="90">
        <v>15</v>
      </c>
      <c r="H11" s="347">
        <v>597.79999999999995</v>
      </c>
      <c r="I11" s="348">
        <f t="shared" ref="I11:I19" si="2">ROUND(G11*H11,2)</f>
        <v>8967</v>
      </c>
      <c r="J11" s="349">
        <f t="shared" si="0"/>
        <v>0</v>
      </c>
      <c r="K11" s="349">
        <f t="shared" si="1"/>
        <v>1092.33</v>
      </c>
      <c r="L11" s="349">
        <v>0</v>
      </c>
      <c r="M11" s="351">
        <f>K11</f>
        <v>1092.33</v>
      </c>
      <c r="N11" s="352">
        <f>I11-M11</f>
        <v>7874.67</v>
      </c>
      <c r="O11" s="353"/>
    </row>
    <row r="12" spans="1:15" s="29" customFormat="1" ht="30" customHeight="1" x14ac:dyDescent="0.2">
      <c r="A12" s="5"/>
      <c r="B12" s="344">
        <v>3</v>
      </c>
      <c r="C12" s="345" t="s">
        <v>430</v>
      </c>
      <c r="D12" s="346" t="s">
        <v>477</v>
      </c>
      <c r="E12" s="346" t="s">
        <v>475</v>
      </c>
      <c r="F12" s="346"/>
      <c r="G12" s="90">
        <v>15</v>
      </c>
      <c r="H12" s="347">
        <v>597.79999999999995</v>
      </c>
      <c r="I12" s="355">
        <f t="shared" si="2"/>
        <v>8967</v>
      </c>
      <c r="J12" s="349">
        <f t="shared" si="0"/>
        <v>0</v>
      </c>
      <c r="K12" s="349">
        <f t="shared" si="1"/>
        <v>1092.33</v>
      </c>
      <c r="L12" s="349">
        <v>0</v>
      </c>
      <c r="M12" s="351">
        <f t="shared" ref="M12:M19" si="3">K12</f>
        <v>1092.33</v>
      </c>
      <c r="N12" s="352">
        <f t="shared" ref="N12:N19" si="4">I12-M12</f>
        <v>7874.67</v>
      </c>
      <c r="O12" s="353"/>
    </row>
    <row r="13" spans="1:15" s="29" customFormat="1" ht="30" customHeight="1" x14ac:dyDescent="0.2">
      <c r="A13" s="5"/>
      <c r="B13" s="344">
        <v>4</v>
      </c>
      <c r="C13" s="345"/>
      <c r="D13" s="346" t="s">
        <v>478</v>
      </c>
      <c r="E13" s="346" t="s">
        <v>475</v>
      </c>
      <c r="F13" s="346"/>
      <c r="G13" s="90">
        <v>15</v>
      </c>
      <c r="H13" s="347">
        <v>597.79999999999995</v>
      </c>
      <c r="I13" s="348">
        <f t="shared" si="2"/>
        <v>8967</v>
      </c>
      <c r="J13" s="349">
        <f t="shared" si="0"/>
        <v>0</v>
      </c>
      <c r="K13" s="349">
        <f t="shared" si="1"/>
        <v>1092.33</v>
      </c>
      <c r="L13" s="349">
        <v>0</v>
      </c>
      <c r="M13" s="351">
        <f t="shared" si="3"/>
        <v>1092.33</v>
      </c>
      <c r="N13" s="352">
        <f t="shared" si="4"/>
        <v>7874.67</v>
      </c>
      <c r="O13" s="353"/>
    </row>
    <row r="14" spans="1:15" s="29" customFormat="1" ht="30" customHeight="1" x14ac:dyDescent="0.2">
      <c r="A14" s="5"/>
      <c r="B14" s="344">
        <v>5</v>
      </c>
      <c r="C14" s="345"/>
      <c r="D14" s="346" t="s">
        <v>479</v>
      </c>
      <c r="E14" s="346" t="s">
        <v>475</v>
      </c>
      <c r="F14" s="346"/>
      <c r="G14" s="90">
        <v>15</v>
      </c>
      <c r="H14" s="347">
        <v>597.79999999999995</v>
      </c>
      <c r="I14" s="348">
        <f t="shared" si="2"/>
        <v>8967</v>
      </c>
      <c r="J14" s="349">
        <f t="shared" si="0"/>
        <v>0</v>
      </c>
      <c r="K14" s="349">
        <f t="shared" si="1"/>
        <v>1092.33</v>
      </c>
      <c r="L14" s="349">
        <v>0</v>
      </c>
      <c r="M14" s="351">
        <f t="shared" si="3"/>
        <v>1092.33</v>
      </c>
      <c r="N14" s="352">
        <f t="shared" si="4"/>
        <v>7874.67</v>
      </c>
      <c r="O14" s="353"/>
    </row>
    <row r="15" spans="1:15" s="29" customFormat="1" ht="30" customHeight="1" x14ac:dyDescent="0.2">
      <c r="A15" s="5"/>
      <c r="B15" s="344">
        <v>6</v>
      </c>
      <c r="C15" s="345"/>
      <c r="D15" s="346" t="s">
        <v>480</v>
      </c>
      <c r="E15" s="346" t="s">
        <v>475</v>
      </c>
      <c r="F15" s="346"/>
      <c r="G15" s="90">
        <v>15</v>
      </c>
      <c r="H15" s="347">
        <v>597.79999999999995</v>
      </c>
      <c r="I15" s="348">
        <f t="shared" si="2"/>
        <v>8967</v>
      </c>
      <c r="J15" s="349">
        <f t="shared" si="0"/>
        <v>0</v>
      </c>
      <c r="K15" s="349">
        <f t="shared" si="1"/>
        <v>1092.33</v>
      </c>
      <c r="L15" s="349">
        <v>0</v>
      </c>
      <c r="M15" s="351">
        <f t="shared" si="3"/>
        <v>1092.33</v>
      </c>
      <c r="N15" s="352">
        <f t="shared" si="4"/>
        <v>7874.67</v>
      </c>
      <c r="O15" s="353"/>
    </row>
    <row r="16" spans="1:15" s="29" customFormat="1" ht="30" customHeight="1" x14ac:dyDescent="0.2">
      <c r="A16" s="5"/>
      <c r="B16" s="344">
        <v>7</v>
      </c>
      <c r="C16" s="345"/>
      <c r="D16" s="346" t="s">
        <v>481</v>
      </c>
      <c r="E16" s="346" t="s">
        <v>475</v>
      </c>
      <c r="F16" s="346"/>
      <c r="G16" s="90">
        <v>15</v>
      </c>
      <c r="H16" s="347">
        <v>597.79999999999995</v>
      </c>
      <c r="I16" s="348">
        <f t="shared" si="2"/>
        <v>8967</v>
      </c>
      <c r="J16" s="349">
        <f t="shared" si="0"/>
        <v>0</v>
      </c>
      <c r="K16" s="349">
        <f t="shared" si="1"/>
        <v>1092.33</v>
      </c>
      <c r="L16" s="349">
        <v>0</v>
      </c>
      <c r="M16" s="351">
        <f t="shared" si="3"/>
        <v>1092.33</v>
      </c>
      <c r="N16" s="352">
        <f t="shared" si="4"/>
        <v>7874.67</v>
      </c>
      <c r="O16" s="353"/>
    </row>
    <row r="17" spans="1:15" s="29" customFormat="1" ht="30" customHeight="1" x14ac:dyDescent="0.2">
      <c r="A17" s="5"/>
      <c r="B17" s="344">
        <v>8</v>
      </c>
      <c r="C17" s="345"/>
      <c r="D17" s="346" t="s">
        <v>482</v>
      </c>
      <c r="E17" s="346" t="s">
        <v>475</v>
      </c>
      <c r="F17" s="354"/>
      <c r="G17" s="90">
        <v>15</v>
      </c>
      <c r="H17" s="347">
        <v>597.79999999999995</v>
      </c>
      <c r="I17" s="348">
        <f t="shared" si="2"/>
        <v>8967</v>
      </c>
      <c r="J17" s="349">
        <f t="shared" si="0"/>
        <v>0</v>
      </c>
      <c r="K17" s="349">
        <f t="shared" si="1"/>
        <v>1092.33</v>
      </c>
      <c r="L17" s="349">
        <v>0</v>
      </c>
      <c r="M17" s="351">
        <f t="shared" si="3"/>
        <v>1092.33</v>
      </c>
      <c r="N17" s="352">
        <f t="shared" si="4"/>
        <v>7874.67</v>
      </c>
      <c r="O17" s="353"/>
    </row>
    <row r="18" spans="1:15" s="29" customFormat="1" ht="30" customHeight="1" x14ac:dyDescent="0.2">
      <c r="A18" s="5"/>
      <c r="B18" s="344">
        <v>9</v>
      </c>
      <c r="C18" s="345"/>
      <c r="D18" s="346" t="s">
        <v>483</v>
      </c>
      <c r="E18" s="346" t="s">
        <v>475</v>
      </c>
      <c r="F18" s="346"/>
      <c r="G18" s="90">
        <v>15</v>
      </c>
      <c r="H18" s="347">
        <v>597.79999999999995</v>
      </c>
      <c r="I18" s="348">
        <f t="shared" si="2"/>
        <v>8967</v>
      </c>
      <c r="J18" s="349">
        <f t="shared" si="0"/>
        <v>0</v>
      </c>
      <c r="K18" s="349">
        <f t="shared" si="1"/>
        <v>1092.33</v>
      </c>
      <c r="L18" s="349">
        <v>0</v>
      </c>
      <c r="M18" s="351">
        <f t="shared" si="3"/>
        <v>1092.33</v>
      </c>
      <c r="N18" s="352">
        <f t="shared" si="4"/>
        <v>7874.67</v>
      </c>
      <c r="O18" s="353"/>
    </row>
    <row r="19" spans="1:15" s="29" customFormat="1" ht="30" customHeight="1" x14ac:dyDescent="0.2">
      <c r="A19" s="5"/>
      <c r="B19" s="344">
        <v>10</v>
      </c>
      <c r="C19" s="345"/>
      <c r="D19" s="346" t="s">
        <v>484</v>
      </c>
      <c r="E19" s="346" t="s">
        <v>485</v>
      </c>
      <c r="F19" s="346"/>
      <c r="G19" s="90">
        <v>15</v>
      </c>
      <c r="H19" s="347">
        <v>597.79999999999995</v>
      </c>
      <c r="I19" s="348">
        <f t="shared" si="2"/>
        <v>8967</v>
      </c>
      <c r="J19" s="349">
        <f t="shared" si="0"/>
        <v>0</v>
      </c>
      <c r="K19" s="349">
        <f t="shared" si="1"/>
        <v>1092.33</v>
      </c>
      <c r="L19" s="349">
        <v>0</v>
      </c>
      <c r="M19" s="351">
        <f t="shared" si="3"/>
        <v>1092.33</v>
      </c>
      <c r="N19" s="352">
        <f t="shared" si="4"/>
        <v>7874.67</v>
      </c>
      <c r="O19" s="353"/>
    </row>
    <row r="20" spans="1:15" s="343" customFormat="1" x14ac:dyDescent="0.2">
      <c r="A20" s="5"/>
      <c r="B20" s="381" t="s">
        <v>17</v>
      </c>
      <c r="C20" s="382"/>
      <c r="D20" s="382"/>
      <c r="E20" s="382"/>
      <c r="F20" s="382"/>
      <c r="G20" s="382"/>
      <c r="H20" s="321"/>
      <c r="I20" s="356">
        <f t="shared" ref="I20:O20" si="5">SUM(I10:I19)</f>
        <v>89670</v>
      </c>
      <c r="J20" s="357">
        <f t="shared" si="5"/>
        <v>0</v>
      </c>
      <c r="K20" s="356">
        <f t="shared" si="5"/>
        <v>10923.3</v>
      </c>
      <c r="L20" s="356">
        <f>SUM(L10:L19)</f>
        <v>0</v>
      </c>
      <c r="M20" s="356">
        <f>SUM(M10:M19)</f>
        <v>10923.3</v>
      </c>
      <c r="N20" s="356">
        <f>SUM(N10:N19)</f>
        <v>78746.7</v>
      </c>
      <c r="O20" s="358">
        <f t="shared" si="5"/>
        <v>0</v>
      </c>
    </row>
    <row r="21" spans="1:15" x14ac:dyDescent="0.2">
      <c r="B21" s="359"/>
      <c r="C21" s="45"/>
      <c r="D21" s="45"/>
      <c r="E21" s="45"/>
      <c r="F21" s="45"/>
      <c r="G21" s="45"/>
      <c r="H21" s="45"/>
      <c r="I21" s="360"/>
      <c r="J21" s="45"/>
      <c r="K21" s="45"/>
      <c r="L21" s="45"/>
      <c r="M21" s="45"/>
      <c r="N21" s="45"/>
      <c r="O21" s="361"/>
    </row>
    <row r="22" spans="1:15" x14ac:dyDescent="0.2">
      <c r="B22" s="359"/>
      <c r="C22" s="45"/>
      <c r="D22" s="45"/>
      <c r="E22" s="45"/>
      <c r="F22" s="45"/>
      <c r="G22" s="45"/>
      <c r="H22" s="45"/>
      <c r="I22" s="360"/>
      <c r="J22" s="45"/>
      <c r="K22" s="45"/>
      <c r="L22" s="45"/>
      <c r="M22" s="45"/>
      <c r="N22" s="45"/>
      <c r="O22" s="361"/>
    </row>
    <row r="23" spans="1:15" x14ac:dyDescent="0.2">
      <c r="B23" s="359"/>
      <c r="C23" s="45"/>
      <c r="D23" s="45"/>
      <c r="E23" s="45"/>
      <c r="F23" s="45"/>
      <c r="G23" s="45"/>
      <c r="H23" s="45"/>
      <c r="I23" s="360"/>
      <c r="J23" s="45"/>
      <c r="K23" s="45"/>
      <c r="L23" s="45"/>
      <c r="M23" s="45"/>
      <c r="N23" s="45"/>
      <c r="O23" s="361"/>
    </row>
    <row r="24" spans="1:15" x14ac:dyDescent="0.2">
      <c r="B24" s="359"/>
      <c r="C24" s="45"/>
      <c r="D24" s="45"/>
      <c r="E24" s="45"/>
      <c r="F24" s="45"/>
      <c r="G24" s="45"/>
      <c r="H24" s="45"/>
      <c r="I24" s="360"/>
      <c r="J24" s="45"/>
      <c r="K24" s="45"/>
      <c r="L24" s="45"/>
      <c r="M24" s="45"/>
      <c r="N24" s="45"/>
      <c r="O24" s="361"/>
    </row>
    <row r="25" spans="1:15" x14ac:dyDescent="0.2">
      <c r="B25" s="359"/>
      <c r="C25" s="45"/>
      <c r="D25" s="45"/>
      <c r="E25" s="45"/>
      <c r="F25" s="45"/>
      <c r="G25" s="45"/>
      <c r="H25" s="45"/>
      <c r="I25" s="360"/>
      <c r="J25" s="45"/>
      <c r="K25" s="45"/>
      <c r="L25" s="45"/>
      <c r="M25" s="45"/>
      <c r="N25" s="45"/>
      <c r="O25" s="362"/>
    </row>
    <row r="26" spans="1:15" ht="13.5" x14ac:dyDescent="0.2">
      <c r="B26" s="100"/>
      <c r="D26" s="99" t="s">
        <v>378</v>
      </c>
      <c r="M26" s="99" t="s">
        <v>359</v>
      </c>
      <c r="N26" s="99"/>
      <c r="O26" s="98"/>
    </row>
    <row r="27" spans="1:15" ht="12.75" customHeight="1" x14ac:dyDescent="0.2">
      <c r="B27" s="100"/>
      <c r="D27" s="383" t="s">
        <v>358</v>
      </c>
      <c r="E27" s="383"/>
      <c r="M27" s="383" t="s">
        <v>360</v>
      </c>
      <c r="N27" s="383"/>
      <c r="O27" s="384"/>
    </row>
    <row r="28" spans="1:15" ht="13.5" thickBot="1" x14ac:dyDescent="0.25">
      <c r="B28" s="101"/>
      <c r="C28" s="102"/>
      <c r="D28" s="363"/>
      <c r="E28" s="102"/>
      <c r="F28" s="102"/>
      <c r="G28" s="102"/>
      <c r="H28" s="102"/>
      <c r="I28" s="103"/>
      <c r="J28" s="102"/>
      <c r="K28" s="102"/>
      <c r="L28" s="102"/>
      <c r="M28" s="102"/>
      <c r="N28" s="102"/>
      <c r="O28" s="364"/>
    </row>
    <row r="31" spans="1:15" x14ac:dyDescent="0.2">
      <c r="M31" s="5" t="s">
        <v>95</v>
      </c>
      <c r="N31" s="366">
        <f>N10+N11+N12</f>
        <v>23624.010000000002</v>
      </c>
    </row>
    <row r="32" spans="1:15" x14ac:dyDescent="0.2">
      <c r="M32" s="5" t="s">
        <v>96</v>
      </c>
      <c r="N32" s="366">
        <f>N13+N14+N15+N16+N17+N18+N19</f>
        <v>55122.689999999995</v>
      </c>
    </row>
    <row r="34" spans="4:14" x14ac:dyDescent="0.2">
      <c r="M34" s="5" t="s">
        <v>369</v>
      </c>
      <c r="N34" s="366">
        <f>N32+N31</f>
        <v>78746.7</v>
      </c>
    </row>
    <row r="36" spans="4:14" x14ac:dyDescent="0.2">
      <c r="M36" s="5" t="s">
        <v>370</v>
      </c>
      <c r="N36" s="32">
        <f>N34-N20</f>
        <v>0</v>
      </c>
    </row>
    <row r="40" spans="4:14" x14ac:dyDescent="0.2">
      <c r="D40" s="365" t="s">
        <v>486</v>
      </c>
      <c r="E40" s="367">
        <f>N34+BASE!M114+EVENTUALES!L157+PENSIONADOS!AJ24+'Apoyos '!H22+'Apoyos '!H54</f>
        <v>478708.85200000001</v>
      </c>
      <c r="K40" s="5" t="s">
        <v>487</v>
      </c>
      <c r="N40" s="367">
        <f>N31+BASE!M112+EVENTUALES!L155+PENSIONADOS!AJ24+'Apoyos '!H22+'Apoyos '!H54+'SEG. PUBLICA'!M45+PROT.CIVIL!M40</f>
        <v>363636.76200000005</v>
      </c>
    </row>
    <row r="42" spans="4:14" x14ac:dyDescent="0.2">
      <c r="D42" s="365" t="s">
        <v>488</v>
      </c>
      <c r="E42" s="367">
        <f>'SEG. PUBLICA'!M48+PROT.CIVIL!M43</f>
        <v>228739.53000000003</v>
      </c>
      <c r="K42" s="5" t="s">
        <v>489</v>
      </c>
      <c r="N42" s="367">
        <f>N32+BASE!M113+EVENTUALES!L156+'SEG. PUBLICA'!M47+PROT.CIVIL!M42</f>
        <v>343811.62</v>
      </c>
    </row>
    <row r="44" spans="4:14" x14ac:dyDescent="0.2">
      <c r="D44" s="365" t="s">
        <v>142</v>
      </c>
      <c r="E44" s="367">
        <f>SUM(E40:E42)</f>
        <v>707448.38199999998</v>
      </c>
      <c r="K44" s="5" t="s">
        <v>142</v>
      </c>
      <c r="N44" s="367">
        <f>SUM(N40:N43)</f>
        <v>707448.38199999998</v>
      </c>
    </row>
  </sheetData>
  <mergeCells count="6">
    <mergeCell ref="E2:O2"/>
    <mergeCell ref="E4:F4"/>
    <mergeCell ref="G8:M8"/>
    <mergeCell ref="B20:G20"/>
    <mergeCell ref="D27:E27"/>
    <mergeCell ref="M27:O27"/>
  </mergeCells>
  <pageMargins left="0.70866141732283472" right="0.70866141732283472" top="0.74803149606299213" bottom="0.15748031496062992" header="0.31496062992125984" footer="0.11811023622047245"/>
  <pageSetup scale="78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6"/>
  <sheetViews>
    <sheetView showGridLines="0" topLeftCell="A90" zoomScale="80" zoomScaleNormal="80" workbookViewId="0">
      <selection activeCell="F100" sqref="F100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8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320" t="s">
        <v>29</v>
      </c>
      <c r="C1" s="242"/>
      <c r="D1" s="141"/>
      <c r="E1" s="142"/>
      <c r="F1" s="143"/>
      <c r="G1" s="143"/>
      <c r="H1" s="143"/>
      <c r="I1" s="143"/>
      <c r="J1" s="143"/>
      <c r="K1" s="143"/>
      <c r="L1" s="143"/>
      <c r="M1" s="143"/>
      <c r="N1" s="144"/>
    </row>
    <row r="2" spans="1:14" ht="20.25" x14ac:dyDescent="0.2">
      <c r="B2" s="145"/>
      <c r="C2" s="243"/>
      <c r="D2" s="84"/>
      <c r="E2" s="411" t="s">
        <v>364</v>
      </c>
      <c r="F2" s="411"/>
      <c r="G2" s="411"/>
      <c r="H2" s="411"/>
      <c r="I2" s="411"/>
      <c r="J2" s="411"/>
      <c r="K2" s="411"/>
      <c r="L2" s="146"/>
      <c r="M2" s="146"/>
      <c r="N2" s="147"/>
    </row>
    <row r="3" spans="1:14" ht="14.25" x14ac:dyDescent="0.2">
      <c r="B3" s="145"/>
      <c r="C3" s="243"/>
      <c r="D3" s="84"/>
      <c r="E3" s="148"/>
      <c r="F3" s="146"/>
      <c r="G3" s="146"/>
      <c r="H3" s="146"/>
      <c r="I3" s="146"/>
      <c r="J3" s="146"/>
      <c r="K3" s="146"/>
      <c r="L3" s="146"/>
      <c r="M3" s="146"/>
      <c r="N3" s="147"/>
    </row>
    <row r="4" spans="1:14" ht="14.25" x14ac:dyDescent="0.2">
      <c r="B4" s="145"/>
      <c r="C4" s="243"/>
      <c r="D4" s="84"/>
      <c r="E4" s="148"/>
      <c r="F4" s="146"/>
      <c r="G4" s="146"/>
      <c r="H4" s="146"/>
      <c r="I4" s="146"/>
      <c r="J4" s="146"/>
      <c r="K4" s="146"/>
      <c r="L4" s="146"/>
      <c r="M4" s="146"/>
      <c r="N4" s="147"/>
    </row>
    <row r="5" spans="1:14" ht="18" customHeight="1" x14ac:dyDescent="0.2">
      <c r="B5" s="149"/>
      <c r="C5" s="39"/>
      <c r="D5" s="84"/>
      <c r="E5" s="412" t="s">
        <v>367</v>
      </c>
      <c r="F5" s="412"/>
      <c r="G5" s="412"/>
      <c r="H5" s="412"/>
      <c r="I5" s="412"/>
      <c r="J5" s="412"/>
      <c r="K5" s="412"/>
      <c r="L5" s="413"/>
      <c r="M5" s="413"/>
      <c r="N5" s="414"/>
    </row>
    <row r="6" spans="1:14" ht="18" customHeight="1" x14ac:dyDescent="0.2">
      <c r="B6" s="149"/>
      <c r="C6" s="39"/>
      <c r="D6" s="84"/>
      <c r="E6" s="170"/>
      <c r="F6" s="170"/>
      <c r="G6" s="170"/>
      <c r="H6" s="170"/>
      <c r="I6" s="170"/>
      <c r="J6" s="178"/>
      <c r="K6" s="178"/>
      <c r="L6" s="171"/>
      <c r="M6" s="171"/>
      <c r="N6" s="172"/>
    </row>
    <row r="7" spans="1:14" ht="18" customHeight="1" thickBot="1" x14ac:dyDescent="0.25">
      <c r="B7" s="149"/>
      <c r="C7" s="39"/>
      <c r="D7" s="415" t="s">
        <v>496</v>
      </c>
      <c r="E7" s="415"/>
      <c r="F7" s="415"/>
      <c r="G7" s="415"/>
      <c r="H7" s="415"/>
      <c r="I7" s="415"/>
      <c r="J7" s="415"/>
      <c r="K7" s="178"/>
      <c r="L7" s="171"/>
      <c r="M7" s="171"/>
      <c r="N7" s="172"/>
    </row>
    <row r="8" spans="1:14" s="27" customFormat="1" ht="36" x14ac:dyDescent="0.2">
      <c r="A8" s="28"/>
      <c r="B8" s="114" t="s">
        <v>357</v>
      </c>
      <c r="C8" s="244" t="s">
        <v>430</v>
      </c>
      <c r="D8" s="115" t="s">
        <v>14</v>
      </c>
      <c r="E8" s="115" t="s">
        <v>351</v>
      </c>
      <c r="F8" s="115" t="s">
        <v>352</v>
      </c>
      <c r="G8" s="115" t="s">
        <v>355</v>
      </c>
      <c r="H8" s="115" t="s">
        <v>356</v>
      </c>
      <c r="I8" s="116" t="s">
        <v>353</v>
      </c>
      <c r="J8" s="115" t="s">
        <v>375</v>
      </c>
      <c r="K8" s="115" t="s">
        <v>376</v>
      </c>
      <c r="L8" s="117" t="s">
        <v>354</v>
      </c>
      <c r="M8" s="118" t="s">
        <v>350</v>
      </c>
      <c r="N8" s="119" t="s">
        <v>361</v>
      </c>
    </row>
    <row r="9" spans="1:14" s="29" customFormat="1" ht="30" customHeight="1" x14ac:dyDescent="0.2">
      <c r="A9" s="5"/>
      <c r="B9" s="120">
        <v>1</v>
      </c>
      <c r="C9" s="245"/>
      <c r="D9" s="104" t="s">
        <v>379</v>
      </c>
      <c r="E9" s="104" t="s">
        <v>92</v>
      </c>
      <c r="F9" s="105"/>
      <c r="G9" s="65">
        <v>0</v>
      </c>
      <c r="H9" s="106">
        <v>1427.133</v>
      </c>
      <c r="I9" s="107">
        <f>ROUND(G9*H9,2)</f>
        <v>0</v>
      </c>
      <c r="J9" s="179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79">
        <f>IF(H9&lt;=207.44,0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0</v>
      </c>
      <c r="L9" s="108">
        <f>K9</f>
        <v>0</v>
      </c>
      <c r="M9" s="108">
        <f>I9+J9-L9</f>
        <v>0</v>
      </c>
      <c r="N9" s="121"/>
    </row>
    <row r="10" spans="1:14" s="29" customFormat="1" ht="30" customHeight="1" x14ac:dyDescent="0.2">
      <c r="A10" s="5"/>
      <c r="B10" s="120">
        <v>2</v>
      </c>
      <c r="C10" s="245" t="s">
        <v>430</v>
      </c>
      <c r="D10" s="104" t="s">
        <v>200</v>
      </c>
      <c r="E10" s="104" t="s">
        <v>113</v>
      </c>
      <c r="F10" s="105"/>
      <c r="G10" s="65">
        <v>15</v>
      </c>
      <c r="H10" s="106">
        <v>297.81</v>
      </c>
      <c r="I10" s="107">
        <v>4837</v>
      </c>
      <c r="J10" s="179">
        <f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79">
        <f>IF(H10&lt;=207.44,0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369.8</v>
      </c>
      <c r="L10" s="108">
        <f>K10</f>
        <v>369.8</v>
      </c>
      <c r="M10" s="108">
        <f>I10+J10-L10</f>
        <v>4467.2</v>
      </c>
      <c r="N10" s="121"/>
    </row>
    <row r="11" spans="1:14" s="5" customFormat="1" ht="30" customHeight="1" x14ac:dyDescent="0.2">
      <c r="B11" s="120">
        <v>3</v>
      </c>
      <c r="C11" s="245"/>
      <c r="D11" s="104" t="s">
        <v>149</v>
      </c>
      <c r="E11" s="104" t="s">
        <v>133</v>
      </c>
      <c r="F11" s="104"/>
      <c r="G11" s="65">
        <v>0</v>
      </c>
      <c r="H11" s="106">
        <v>560</v>
      </c>
      <c r="I11" s="107">
        <f>ROUND(G11*H11,2)</f>
        <v>0</v>
      </c>
      <c r="J11" s="179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179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0</v>
      </c>
      <c r="L11" s="108">
        <f>K11</f>
        <v>0</v>
      </c>
      <c r="M11" s="108">
        <f>I11+J11-L11</f>
        <v>0</v>
      </c>
      <c r="N11" s="121"/>
    </row>
    <row r="12" spans="1:14" s="27" customFormat="1" ht="30" customHeight="1" x14ac:dyDescent="0.2">
      <c r="A12" s="28"/>
      <c r="B12" s="120">
        <v>4</v>
      </c>
      <c r="C12" s="245"/>
      <c r="D12" s="104" t="s">
        <v>201</v>
      </c>
      <c r="E12" s="104" t="s">
        <v>85</v>
      </c>
      <c r="F12" s="105"/>
      <c r="G12" s="65">
        <v>15</v>
      </c>
      <c r="H12" s="106">
        <v>179.13300000000001</v>
      </c>
      <c r="I12" s="107">
        <f>ROUND(G12*H12,2)</f>
        <v>2687</v>
      </c>
      <c r="J12" s="179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179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175">
        <f>K12</f>
        <v>0</v>
      </c>
      <c r="M12" s="108">
        <f>I12+J12-L12</f>
        <v>2687</v>
      </c>
      <c r="N12" s="121"/>
    </row>
    <row r="13" spans="1:14" s="29" customFormat="1" ht="30" customHeight="1" x14ac:dyDescent="0.2">
      <c r="A13" s="5"/>
      <c r="B13" s="120">
        <v>5</v>
      </c>
      <c r="C13" s="245"/>
      <c r="D13" s="104" t="s">
        <v>202</v>
      </c>
      <c r="E13" s="104" t="s">
        <v>91</v>
      </c>
      <c r="F13" s="105"/>
      <c r="G13" s="65">
        <v>15</v>
      </c>
      <c r="H13" s="106">
        <v>302.4785</v>
      </c>
      <c r="I13" s="107">
        <f>ROUND(G13*H13,2)</f>
        <v>4537.18</v>
      </c>
      <c r="J13" s="179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79">
        <f>IF(H13&lt;=207.44,0,(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))</f>
        <v>337.18</v>
      </c>
      <c r="L13" s="108">
        <f>K13</f>
        <v>337.18</v>
      </c>
      <c r="M13" s="108">
        <f>I13+J13-L13</f>
        <v>4200</v>
      </c>
      <c r="N13" s="121"/>
    </row>
    <row r="14" spans="1:14" s="30" customFormat="1" ht="30" customHeight="1" x14ac:dyDescent="0.2">
      <c r="A14" s="26"/>
      <c r="B14" s="122"/>
      <c r="C14" s="246"/>
      <c r="D14" s="77"/>
      <c r="E14" s="67" t="s">
        <v>122</v>
      </c>
      <c r="F14" s="385"/>
      <c r="G14" s="386"/>
      <c r="H14" s="66"/>
      <c r="I14" s="110">
        <f>SUM(I9:I13)</f>
        <v>12061.18</v>
      </c>
      <c r="J14" s="174">
        <f>SUM(J9:J13)</f>
        <v>0</v>
      </c>
      <c r="K14" s="110">
        <f>SUM(K9:K13)</f>
        <v>706.98</v>
      </c>
      <c r="L14" s="110">
        <f>SUM(L9:L13)</f>
        <v>706.98</v>
      </c>
      <c r="M14" s="110">
        <f>SUM(M9:M13)</f>
        <v>11354.2</v>
      </c>
      <c r="N14" s="123"/>
    </row>
    <row r="15" spans="1:14" s="27" customFormat="1" ht="30" customHeight="1" x14ac:dyDescent="0.2">
      <c r="A15" s="28"/>
      <c r="B15" s="405" t="s">
        <v>35</v>
      </c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7"/>
    </row>
    <row r="16" spans="1:14" s="29" customFormat="1" ht="30" customHeight="1" x14ac:dyDescent="0.2">
      <c r="A16" s="5"/>
      <c r="B16" s="120">
        <v>6</v>
      </c>
      <c r="C16" s="245"/>
      <c r="D16" s="111" t="s">
        <v>167</v>
      </c>
      <c r="E16" s="104" t="s">
        <v>80</v>
      </c>
      <c r="F16" s="112"/>
      <c r="G16" s="65">
        <v>0</v>
      </c>
      <c r="H16" s="106">
        <v>811.66660000000002</v>
      </c>
      <c r="I16" s="107">
        <v>0</v>
      </c>
      <c r="J16" s="179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79">
        <f>IF(H16&lt;=207.44,0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0</v>
      </c>
      <c r="L16" s="108">
        <f>K16</f>
        <v>0</v>
      </c>
      <c r="M16" s="108">
        <v>0</v>
      </c>
      <c r="N16" s="124"/>
    </row>
    <row r="17" spans="1:97" s="30" customFormat="1" ht="30" customHeight="1" x14ac:dyDescent="0.2">
      <c r="A17" s="26"/>
      <c r="B17" s="122"/>
      <c r="C17" s="246"/>
      <c r="D17" s="77"/>
      <c r="E17" s="67" t="s">
        <v>34</v>
      </c>
      <c r="F17" s="67"/>
      <c r="G17" s="67"/>
      <c r="H17" s="113"/>
      <c r="I17" s="110">
        <f>SUM(I16:I16)</f>
        <v>0</v>
      </c>
      <c r="J17" s="174">
        <f>SUM(J16:J16)</f>
        <v>0</v>
      </c>
      <c r="K17" s="110">
        <f>SUM(K16:K16)</f>
        <v>0</v>
      </c>
      <c r="L17" s="110">
        <f>SUM(L16:L16)</f>
        <v>0</v>
      </c>
      <c r="M17" s="110">
        <f>SUM(M16:M16)</f>
        <v>0</v>
      </c>
      <c r="N17" s="123"/>
    </row>
    <row r="18" spans="1:97" s="5" customFormat="1" ht="30" customHeight="1" x14ac:dyDescent="0.2">
      <c r="B18" s="405" t="s">
        <v>81</v>
      </c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7"/>
    </row>
    <row r="19" spans="1:97" ht="30" customHeight="1" x14ac:dyDescent="0.2">
      <c r="B19" s="120">
        <v>7</v>
      </c>
      <c r="C19" s="245"/>
      <c r="D19" s="111" t="s">
        <v>203</v>
      </c>
      <c r="E19" s="104" t="s">
        <v>36</v>
      </c>
      <c r="F19" s="105"/>
      <c r="G19" s="65">
        <v>0</v>
      </c>
      <c r="H19" s="106">
        <v>400</v>
      </c>
      <c r="I19" s="107">
        <f>ROUND(G19*H19,2)</f>
        <v>0</v>
      </c>
      <c r="J19" s="179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79">
        <f>IF(H19&lt;=207.44,0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0</v>
      </c>
      <c r="L19" s="108">
        <f>K19</f>
        <v>0</v>
      </c>
      <c r="M19" s="108">
        <f>I19+J19-L19</f>
        <v>0</v>
      </c>
      <c r="N19" s="124"/>
    </row>
    <row r="20" spans="1:97" ht="30" customHeight="1" x14ac:dyDescent="0.2">
      <c r="B20" s="120">
        <v>8</v>
      </c>
      <c r="C20" s="245"/>
      <c r="D20" s="111" t="s">
        <v>204</v>
      </c>
      <c r="E20" s="104" t="s">
        <v>43</v>
      </c>
      <c r="F20" s="105"/>
      <c r="G20" s="65">
        <v>15</v>
      </c>
      <c r="H20" s="106">
        <v>274.13330000000002</v>
      </c>
      <c r="I20" s="107">
        <f>ROUND(G20*H20,2)</f>
        <v>4112</v>
      </c>
      <c r="J20" s="179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79">
        <f>IF(H20&lt;=207.44,0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290.92</v>
      </c>
      <c r="L20" s="108">
        <f>K20</f>
        <v>290.92</v>
      </c>
      <c r="M20" s="108">
        <f>I20+J20-L20</f>
        <v>3821.08</v>
      </c>
      <c r="N20" s="124"/>
    </row>
    <row r="21" spans="1:97" s="5" customFormat="1" ht="30" customHeight="1" x14ac:dyDescent="0.2">
      <c r="B21" s="120"/>
      <c r="C21" s="245"/>
      <c r="D21" s="74"/>
      <c r="E21" s="67" t="s">
        <v>34</v>
      </c>
      <c r="F21" s="385"/>
      <c r="G21" s="386"/>
      <c r="H21" s="113"/>
      <c r="I21" s="110">
        <f>SUM(I19:I20)</f>
        <v>4112</v>
      </c>
      <c r="J21" s="174">
        <f>SUM(J19:J20)</f>
        <v>0</v>
      </c>
      <c r="K21" s="110">
        <f>SUM(K19:K20)</f>
        <v>290.92</v>
      </c>
      <c r="L21" s="110">
        <f>SUM(L19:L20)</f>
        <v>290.92</v>
      </c>
      <c r="M21" s="110">
        <f>SUM(M19:M20)</f>
        <v>3821.08</v>
      </c>
      <c r="N21" s="123"/>
    </row>
    <row r="22" spans="1:97" ht="30" customHeight="1" x14ac:dyDescent="0.2">
      <c r="B22" s="405" t="s">
        <v>37</v>
      </c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7"/>
    </row>
    <row r="23" spans="1:97" s="5" customFormat="1" ht="30" customHeight="1" x14ac:dyDescent="0.2">
      <c r="A23" s="5" t="s">
        <v>29</v>
      </c>
      <c r="B23" s="120">
        <v>9</v>
      </c>
      <c r="C23" s="245"/>
      <c r="D23" s="111" t="s">
        <v>205</v>
      </c>
      <c r="E23" s="104" t="s">
        <v>36</v>
      </c>
      <c r="F23" s="105"/>
      <c r="G23" s="65">
        <v>15</v>
      </c>
      <c r="H23" s="106">
        <v>303</v>
      </c>
      <c r="I23" s="107">
        <f>ROUND(G23*H23,2)</f>
        <v>4545</v>
      </c>
      <c r="J23" s="179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79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338.03</v>
      </c>
      <c r="L23" s="108">
        <f>K23</f>
        <v>338.03</v>
      </c>
      <c r="M23" s="108">
        <f>I23+J23-L23</f>
        <v>4206.97</v>
      </c>
      <c r="N23" s="124"/>
    </row>
    <row r="24" spans="1:97" ht="30" customHeight="1" x14ac:dyDescent="0.2">
      <c r="B24" s="120">
        <v>10</v>
      </c>
      <c r="C24" s="245"/>
      <c r="D24" s="111" t="s">
        <v>206</v>
      </c>
      <c r="E24" s="104" t="s">
        <v>38</v>
      </c>
      <c r="F24" s="105"/>
      <c r="G24" s="65">
        <v>15</v>
      </c>
      <c r="H24" s="106">
        <v>274.13330000000002</v>
      </c>
      <c r="I24" s="107">
        <f>ROUND(G24*H24,2)</f>
        <v>4112</v>
      </c>
      <c r="J24" s="179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79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290.92</v>
      </c>
      <c r="L24" s="108">
        <f>K24</f>
        <v>290.92</v>
      </c>
      <c r="M24" s="108">
        <f>I24+J24-L24</f>
        <v>3821.08</v>
      </c>
      <c r="N24" s="124"/>
    </row>
    <row r="25" spans="1:97" ht="30" customHeight="1" x14ac:dyDescent="0.2">
      <c r="B25" s="120">
        <v>11</v>
      </c>
      <c r="C25" s="245"/>
      <c r="D25" s="111" t="s">
        <v>207</v>
      </c>
      <c r="E25" s="104" t="s">
        <v>39</v>
      </c>
      <c r="F25" s="105"/>
      <c r="G25" s="65">
        <v>15</v>
      </c>
      <c r="H25" s="106">
        <v>190.86666</v>
      </c>
      <c r="I25" s="107">
        <f>ROUND(G25*H25,2)</f>
        <v>2863</v>
      </c>
      <c r="J25" s="179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79">
        <f>IF(H25&lt;=207.44,0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75">
        <f>K25</f>
        <v>0</v>
      </c>
      <c r="M25" s="108">
        <f>I25+J25-L25</f>
        <v>2863</v>
      </c>
      <c r="N25" s="124"/>
    </row>
    <row r="26" spans="1:97" ht="30" customHeight="1" x14ac:dyDescent="0.2">
      <c r="B26" s="120">
        <v>12</v>
      </c>
      <c r="C26" s="245"/>
      <c r="D26" s="111" t="s">
        <v>208</v>
      </c>
      <c r="E26" s="104" t="s">
        <v>39</v>
      </c>
      <c r="F26" s="105"/>
      <c r="G26" s="65">
        <v>15</v>
      </c>
      <c r="H26" s="106">
        <v>190.86666</v>
      </c>
      <c r="I26" s="107">
        <f>ROUND(G26*H26,2)</f>
        <v>2863</v>
      </c>
      <c r="J26" s="179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79">
        <f>IF(H26&lt;=207.44,0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75">
        <f>K26</f>
        <v>0</v>
      </c>
      <c r="M26" s="108">
        <f>I26+J26-L26</f>
        <v>2863</v>
      </c>
      <c r="N26" s="124"/>
    </row>
    <row r="27" spans="1:97" ht="30" customHeight="1" x14ac:dyDescent="0.2">
      <c r="B27" s="120">
        <v>13</v>
      </c>
      <c r="C27" s="245"/>
      <c r="D27" s="111" t="s">
        <v>456</v>
      </c>
      <c r="E27" s="104" t="s">
        <v>39</v>
      </c>
      <c r="F27" s="105"/>
      <c r="G27" s="65">
        <v>15</v>
      </c>
      <c r="H27" s="106">
        <v>190.86666</v>
      </c>
      <c r="I27" s="107">
        <f>ROUND(G27*H27,2)</f>
        <v>2863</v>
      </c>
      <c r="J27" s="179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79">
        <f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75">
        <f>K27</f>
        <v>0</v>
      </c>
      <c r="M27" s="108">
        <f>I27+J27-L27</f>
        <v>2863</v>
      </c>
      <c r="N27" s="124"/>
    </row>
    <row r="28" spans="1:97" ht="30" customHeight="1" x14ac:dyDescent="0.2">
      <c r="B28" s="120"/>
      <c r="C28" s="245"/>
      <c r="D28" s="74"/>
      <c r="E28" s="67" t="s">
        <v>34</v>
      </c>
      <c r="F28" s="385"/>
      <c r="G28" s="386"/>
      <c r="H28" s="113"/>
      <c r="I28" s="110">
        <f>SUM(I23:I27)</f>
        <v>17246</v>
      </c>
      <c r="J28" s="174">
        <v>0</v>
      </c>
      <c r="K28" s="110">
        <f>SUM(K23:K27)</f>
        <v>628.95000000000005</v>
      </c>
      <c r="L28" s="110">
        <f>SUM(L23:L27)</f>
        <v>628.95000000000005</v>
      </c>
      <c r="M28" s="110">
        <f>SUM(M23:M27)</f>
        <v>16617.05</v>
      </c>
      <c r="N28" s="123"/>
    </row>
    <row r="29" spans="1:97" ht="30" customHeight="1" x14ac:dyDescent="0.2">
      <c r="B29" s="405" t="s">
        <v>164</v>
      </c>
      <c r="C29" s="406"/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7"/>
    </row>
    <row r="30" spans="1:97" s="5" customFormat="1" ht="30" customHeight="1" x14ac:dyDescent="0.2">
      <c r="B30" s="120">
        <v>14</v>
      </c>
      <c r="C30" s="245"/>
      <c r="D30" s="111" t="s">
        <v>209</v>
      </c>
      <c r="E30" s="104" t="s">
        <v>180</v>
      </c>
      <c r="F30" s="104"/>
      <c r="G30" s="65">
        <v>0</v>
      </c>
      <c r="H30" s="106">
        <v>366.8</v>
      </c>
      <c r="I30" s="107">
        <f>ROUND(G30*H30,2)</f>
        <v>0</v>
      </c>
      <c r="J30" s="179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79">
        <f>IF(H30&lt;=207.44,0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0</v>
      </c>
      <c r="L30" s="108">
        <f>K30</f>
        <v>0</v>
      </c>
      <c r="M30" s="108">
        <f>I30+J30-L30</f>
        <v>0</v>
      </c>
      <c r="N30" s="124"/>
    </row>
    <row r="31" spans="1:97" s="86" customFormat="1" ht="30" customHeight="1" x14ac:dyDescent="0.2">
      <c r="A31" s="5"/>
      <c r="B31" s="120">
        <v>15</v>
      </c>
      <c r="C31" s="245" t="s">
        <v>430</v>
      </c>
      <c r="D31" s="111" t="s">
        <v>184</v>
      </c>
      <c r="E31" s="104" t="s">
        <v>43</v>
      </c>
      <c r="F31" s="104"/>
      <c r="G31" s="65">
        <v>15</v>
      </c>
      <c r="H31" s="108">
        <v>219.93299999999999</v>
      </c>
      <c r="I31" s="107">
        <f>ROUND(G31*H31,2)</f>
        <v>3299</v>
      </c>
      <c r="J31" s="179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79">
        <f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77.37</v>
      </c>
      <c r="L31" s="108">
        <f>K31</f>
        <v>77.37</v>
      </c>
      <c r="M31" s="108">
        <f>I31+J31-L31</f>
        <v>3221.63</v>
      </c>
      <c r="N31" s="12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20"/>
      <c r="C32" s="245"/>
      <c r="D32" s="74"/>
      <c r="E32" s="67" t="s">
        <v>34</v>
      </c>
      <c r="F32" s="385"/>
      <c r="G32" s="386"/>
      <c r="H32" s="66"/>
      <c r="I32" s="110">
        <f>SUM(I30:I31)</f>
        <v>3299</v>
      </c>
      <c r="J32" s="174">
        <f>SUM(J30:J31)</f>
        <v>0</v>
      </c>
      <c r="K32" s="110">
        <f>SUM(K30:K31)</f>
        <v>77.37</v>
      </c>
      <c r="L32" s="110">
        <f>SUM(L30:L31)</f>
        <v>77.37</v>
      </c>
      <c r="M32" s="110">
        <f>SUM(M30:M31)</f>
        <v>3221.63</v>
      </c>
      <c r="N32" s="123"/>
    </row>
    <row r="33" spans="1:97" ht="30" customHeight="1" x14ac:dyDescent="0.2">
      <c r="B33" s="408" t="s">
        <v>40</v>
      </c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10"/>
    </row>
    <row r="34" spans="1:97" s="86" customFormat="1" ht="30" customHeight="1" x14ac:dyDescent="0.2">
      <c r="A34" s="5"/>
      <c r="B34" s="120">
        <v>16</v>
      </c>
      <c r="C34" s="245" t="s">
        <v>430</v>
      </c>
      <c r="D34" s="111" t="s">
        <v>343</v>
      </c>
      <c r="E34" s="104" t="s">
        <v>344</v>
      </c>
      <c r="F34" s="65"/>
      <c r="G34" s="65">
        <v>15</v>
      </c>
      <c r="H34" s="108">
        <v>303</v>
      </c>
      <c r="I34" s="107">
        <f>ROUND(G34*H34,2)</f>
        <v>4545</v>
      </c>
      <c r="J34" s="179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79">
        <f>IF(H34&lt;=207.44,0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338.03</v>
      </c>
      <c r="L34" s="108">
        <f>K34</f>
        <v>338.03</v>
      </c>
      <c r="M34" s="108">
        <f>I34+J34-L34</f>
        <v>4206.97</v>
      </c>
      <c r="N34" s="12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20">
        <v>17</v>
      </c>
      <c r="C35" s="245"/>
      <c r="D35" s="111" t="s">
        <v>210</v>
      </c>
      <c r="E35" s="104" t="s">
        <v>42</v>
      </c>
      <c r="F35" s="105"/>
      <c r="G35" s="65">
        <v>15</v>
      </c>
      <c r="H35" s="108">
        <v>166.66659999999999</v>
      </c>
      <c r="I35" s="107">
        <f>ROUND(G35*H35,2)</f>
        <v>2500</v>
      </c>
      <c r="J35" s="10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16.79</v>
      </c>
      <c r="K35" s="175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75">
        <f>K35</f>
        <v>0</v>
      </c>
      <c r="M35" s="108">
        <f>I35+J35-L35</f>
        <v>2516.79</v>
      </c>
      <c r="N35" s="124"/>
    </row>
    <row r="36" spans="1:97" s="88" customFormat="1" ht="30" customHeight="1" x14ac:dyDescent="0.2">
      <c r="A36" s="28"/>
      <c r="B36" s="120">
        <v>18</v>
      </c>
      <c r="C36" s="245" t="s">
        <v>430</v>
      </c>
      <c r="D36" s="111" t="s">
        <v>211</v>
      </c>
      <c r="E36" s="104" t="s">
        <v>115</v>
      </c>
      <c r="F36" s="105"/>
      <c r="G36" s="65">
        <v>15</v>
      </c>
      <c r="H36" s="108">
        <v>213.53299999999999</v>
      </c>
      <c r="I36" s="107">
        <f>ROUND(G36*H36,2)</f>
        <v>3203</v>
      </c>
      <c r="J36" s="179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79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66.92</v>
      </c>
      <c r="L36" s="108">
        <f>K36</f>
        <v>66.92</v>
      </c>
      <c r="M36" s="108">
        <f>I36+J36-L36</f>
        <v>3136.08</v>
      </c>
      <c r="N36" s="124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20">
        <v>19</v>
      </c>
      <c r="C37" s="245"/>
      <c r="D37" s="111" t="s">
        <v>212</v>
      </c>
      <c r="E37" s="104" t="s">
        <v>123</v>
      </c>
      <c r="F37" s="105"/>
      <c r="G37" s="65">
        <v>15</v>
      </c>
      <c r="H37" s="108">
        <v>203.4666</v>
      </c>
      <c r="I37" s="107">
        <f>ROUND(G37*H37,2)</f>
        <v>3052</v>
      </c>
      <c r="J37" s="173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0</v>
      </c>
      <c r="K37" s="175">
        <v>0</v>
      </c>
      <c r="L37" s="175">
        <f>K37</f>
        <v>0</v>
      </c>
      <c r="M37" s="108">
        <f>I37+J37-L37</f>
        <v>3052</v>
      </c>
      <c r="N37" s="124"/>
    </row>
    <row r="38" spans="1:97" ht="30" customHeight="1" x14ac:dyDescent="0.2">
      <c r="B38" s="120"/>
      <c r="C38" s="245"/>
      <c r="D38" s="74"/>
      <c r="E38" s="67" t="s">
        <v>34</v>
      </c>
      <c r="F38" s="385"/>
      <c r="G38" s="386"/>
      <c r="H38" s="248"/>
      <c r="I38" s="110">
        <f>SUM(I34:I37)</f>
        <v>13300</v>
      </c>
      <c r="J38" s="110">
        <f>SUM(J34:J37)</f>
        <v>16.79</v>
      </c>
      <c r="K38" s="110">
        <f>SUM(K34:K37)</f>
        <v>404.95</v>
      </c>
      <c r="L38" s="110">
        <f>SUM(L34:L37)</f>
        <v>404.95</v>
      </c>
      <c r="M38" s="110">
        <f>SUM(M34:M37)</f>
        <v>12911.84</v>
      </c>
      <c r="N38" s="123"/>
    </row>
    <row r="39" spans="1:97" ht="30" customHeight="1" x14ac:dyDescent="0.2">
      <c r="B39" s="391" t="s">
        <v>79</v>
      </c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3"/>
    </row>
    <row r="40" spans="1:97" s="5" customFormat="1" ht="30" customHeight="1" x14ac:dyDescent="0.2">
      <c r="B40" s="120">
        <v>20</v>
      </c>
      <c r="C40" s="245"/>
      <c r="D40" s="109" t="s">
        <v>213</v>
      </c>
      <c r="E40" s="104" t="s">
        <v>98</v>
      </c>
      <c r="F40" s="104"/>
      <c r="G40" s="65">
        <v>0</v>
      </c>
      <c r="H40" s="108">
        <v>366.8</v>
      </c>
      <c r="I40" s="107">
        <f>ROUND(G40*H40,2)</f>
        <v>0</v>
      </c>
      <c r="J40" s="179">
        <f>IFERROR(IF(ROUND((((I40/G40*30.4)-VLOOKUP((I40/G40*30.4),TARIFA,1))*VLOOKUP((I40/G40*30.4),TARIFA,3)+VLOOKUP((I40/G40*30.4),TARIFA,2)-VLOOKUP((I40/G40*30.4),SUBSIDIO,2))/30.4*G40,2)&lt;0,ROUND(-(((I40/G40*30.4)-VLOOKUP((I40/G40*30.4),TARIFA,1))*VLOOKUP((I40/G40*30.4),TARIFA,3)+VLOOKUP((I40/G40*30.4),TARIFA,2)-VLOOKUP((I40/G40*30.4),SUBSIDIO,2))/30.4*G40,2),0),0)</f>
        <v>0</v>
      </c>
      <c r="K40" s="179">
        <f>IF(H40&lt;=207.44,0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0</v>
      </c>
      <c r="L40" s="175">
        <f>K40</f>
        <v>0</v>
      </c>
      <c r="M40" s="108">
        <f>I40+J40-L40</f>
        <v>0</v>
      </c>
      <c r="N40" s="124"/>
    </row>
    <row r="41" spans="1:97" ht="30" customHeight="1" x14ac:dyDescent="0.2">
      <c r="B41" s="120">
        <v>21</v>
      </c>
      <c r="C41" s="245"/>
      <c r="D41" s="111" t="s">
        <v>214</v>
      </c>
      <c r="E41" s="104" t="s">
        <v>100</v>
      </c>
      <c r="F41" s="105"/>
      <c r="G41" s="65">
        <v>15</v>
      </c>
      <c r="H41" s="108">
        <v>303</v>
      </c>
      <c r="I41" s="107">
        <f>ROUND(G41*H41,2)</f>
        <v>4545</v>
      </c>
      <c r="J41" s="179">
        <f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179">
        <f>IF(H41&lt;=207.44,0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338.03</v>
      </c>
      <c r="L41" s="175">
        <f>K41</f>
        <v>338.03</v>
      </c>
      <c r="M41" s="108">
        <f>I41+J41-L41</f>
        <v>4206.97</v>
      </c>
      <c r="N41" s="124"/>
    </row>
    <row r="42" spans="1:97" ht="30" customHeight="1" x14ac:dyDescent="0.2">
      <c r="B42" s="120"/>
      <c r="C42" s="245"/>
      <c r="D42" s="74"/>
      <c r="E42" s="67" t="s">
        <v>34</v>
      </c>
      <c r="F42" s="385"/>
      <c r="G42" s="386"/>
      <c r="H42" s="248"/>
      <c r="I42" s="110">
        <f>SUM(I40:I41)</f>
        <v>4545</v>
      </c>
      <c r="J42" s="174">
        <f>SUM(J40:J41)</f>
        <v>0</v>
      </c>
      <c r="K42" s="110">
        <f>SUM(K40:K41)</f>
        <v>338.03</v>
      </c>
      <c r="L42" s="110">
        <f>SUM(L40:L41)</f>
        <v>338.03</v>
      </c>
      <c r="M42" s="110">
        <f>SUM(M40:M41)</f>
        <v>4206.97</v>
      </c>
      <c r="N42" s="123"/>
    </row>
    <row r="43" spans="1:97" ht="30" customHeight="1" x14ac:dyDescent="0.2">
      <c r="B43" s="387" t="s">
        <v>44</v>
      </c>
      <c r="C43" s="388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90"/>
    </row>
    <row r="44" spans="1:97" s="5" customFormat="1" ht="30" customHeight="1" x14ac:dyDescent="0.2">
      <c r="B44" s="120">
        <v>22</v>
      </c>
      <c r="C44" s="245"/>
      <c r="D44" s="111" t="s">
        <v>215</v>
      </c>
      <c r="E44" s="104" t="s">
        <v>36</v>
      </c>
      <c r="F44" s="105"/>
      <c r="G44" s="65">
        <v>0</v>
      </c>
      <c r="H44" s="108">
        <v>303</v>
      </c>
      <c r="I44" s="107">
        <f>ROUND(G44*H44,2)</f>
        <v>0</v>
      </c>
      <c r="J44" s="181">
        <f>IFERROR(IF(ROUND((((I44/G44*30.4)-VLOOKUP((I44/G44*30.4),TARIFA,1))*VLOOKUP((I44/G44*30.4),TARIFA,3)+VLOOKUP((I44/G44*30.4),TARIFA,2)-VLOOKUP((I44/G44*30.4),SUBSIDIO,2))/30.4*G44,2)&lt;0,ROUND(-(((I44/G44*30.4)-VLOOKUP((I44/G44*30.4),TARIFA,1))*VLOOKUP((I44/G44*30.4),TARIFA,3)+VLOOKUP((I44/G44*30.4),TARIFA,2)-VLOOKUP((I44/G44*30.4),SUBSIDIO,2))/30.4*G44,2),0),0)</f>
        <v>0</v>
      </c>
      <c r="K44" s="179">
        <f>IF(H44&lt;=207.44,0,(IFERROR(IF(ROUND((((I44/G44*30.4)-VLOOKUP((I44/G44*30.4),TARIFA,1))*VLOOKUP((I44/G44*30.4),TARIFA,3)+VLOOKUP((I44/G44*30.4),TARIFA,2)-VLOOKUP((I44/G44*30.4),SUBSIDIO,2))/30.4*G44,2)&gt;0,ROUND((((I44/G44*30.4)-VLOOKUP((I44/G44*30.4),TARIFA,1))*VLOOKUP((I44/G44*30.4),TARIFA,3)+VLOOKUP((I44/G44*30.4),TARIFA,2)-VLOOKUP((I44/G44*30.4),SUBSIDIO,2))/30.4*G44,2),0),0)))</f>
        <v>0</v>
      </c>
      <c r="L44" s="108">
        <f>K44</f>
        <v>0</v>
      </c>
      <c r="M44" s="108">
        <f>I44+J44-L44</f>
        <v>0</v>
      </c>
      <c r="N44" s="124"/>
    </row>
    <row r="45" spans="1:97" s="88" customFormat="1" ht="30" customHeight="1" x14ac:dyDescent="0.2">
      <c r="A45" s="28"/>
      <c r="B45" s="120">
        <v>23</v>
      </c>
      <c r="C45" s="245" t="s">
        <v>430</v>
      </c>
      <c r="D45" s="111" t="s">
        <v>216</v>
      </c>
      <c r="E45" s="104" t="s">
        <v>43</v>
      </c>
      <c r="F45" s="104"/>
      <c r="G45" s="65">
        <v>15</v>
      </c>
      <c r="H45" s="108">
        <v>222.733</v>
      </c>
      <c r="I45" s="107">
        <f>ROUND(G45*H45,2)</f>
        <v>3341</v>
      </c>
      <c r="J45" s="173">
        <f>IFERROR(IF(ROUND((((I45/G45*30.4)-VLOOKUP((I45/G45*30.4),TARIFA,1))*VLOOKUP((I45/G45*30.4),TARIFA,3)+VLOOKUP((I45/G45*30.4),TARIFA,2)-VLOOKUP((I45/G45*30.4),SUBSIDIO,2))/30.4*G45,2)&lt;0,ROUND(-(((I45/G45*30.4)-VLOOKUP((I45/G45*30.4),TARIFA,1))*VLOOKUP((I45/G45*30.4),TARIFA,3)+VLOOKUP((I45/G45*30.4),TARIFA,2)-VLOOKUP((I45/G45*30.4),SUBSIDIO,2))/30.4*G45,2),0),0)</f>
        <v>0</v>
      </c>
      <c r="K45" s="108">
        <f>IF(H45&lt;=207.44,0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81.94</v>
      </c>
      <c r="L45" s="108">
        <f>K45</f>
        <v>81.94</v>
      </c>
      <c r="M45" s="108">
        <f>I45+J45-L45</f>
        <v>3259.06</v>
      </c>
      <c r="N45" s="124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1:97" ht="30" customHeight="1" x14ac:dyDescent="0.2">
      <c r="B46" s="120"/>
      <c r="C46" s="245"/>
      <c r="D46" s="74"/>
      <c r="E46" s="67" t="s">
        <v>34</v>
      </c>
      <c r="F46" s="385"/>
      <c r="G46" s="386"/>
      <c r="H46" s="248"/>
      <c r="I46" s="110">
        <f>SUM(I44:I45)</f>
        <v>3341</v>
      </c>
      <c r="J46" s="174">
        <f>SUM(J44:J45)</f>
        <v>0</v>
      </c>
      <c r="K46" s="110">
        <f>SUM(K44:K45)</f>
        <v>81.94</v>
      </c>
      <c r="L46" s="110">
        <f>SUM(L44:L45)</f>
        <v>81.94</v>
      </c>
      <c r="M46" s="110">
        <f>SUM(M44:M45)</f>
        <v>3259.06</v>
      </c>
      <c r="N46" s="123"/>
    </row>
    <row r="47" spans="1:97" ht="30" customHeight="1" x14ac:dyDescent="0.2">
      <c r="B47" s="391" t="s">
        <v>45</v>
      </c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3"/>
    </row>
    <row r="48" spans="1:97" s="88" customFormat="1" ht="30" customHeight="1" x14ac:dyDescent="0.2">
      <c r="A48" s="28"/>
      <c r="B48" s="120">
        <v>24</v>
      </c>
      <c r="C48" s="245" t="s">
        <v>430</v>
      </c>
      <c r="D48" s="111" t="s">
        <v>217</v>
      </c>
      <c r="E48" s="104" t="s">
        <v>36</v>
      </c>
      <c r="F48" s="105"/>
      <c r="G48" s="65">
        <v>0</v>
      </c>
      <c r="H48" s="108">
        <v>303</v>
      </c>
      <c r="I48" s="107">
        <f>ROUND(G48*H48,2)</f>
        <v>0</v>
      </c>
      <c r="J48" s="179">
        <f>IFERROR(IF(ROUND((((I48/G48*30.4)-VLOOKUP((I48/G48*30.4),TARIFA,1))*VLOOKUP((I48/G48*30.4),TARIFA,3)+VLOOKUP((I48/G48*30.4),TARIFA,2)-VLOOKUP((I48/G48*30.4),SUBSIDIO,2))/30.4*G48,2)&lt;0,ROUND(-(((I48/G48*30.4)-VLOOKUP((I48/G48*30.4),TARIFA,1))*VLOOKUP((I48/G48*30.4),TARIFA,3)+VLOOKUP((I48/G48*30.4),TARIFA,2)-VLOOKUP((I48/G48*30.4),SUBSIDIO,2))/30.4*G48,2),0),0)</f>
        <v>0</v>
      </c>
      <c r="K48" s="179">
        <f>IF(H48&lt;=207.44,0,(IFERROR(IF(ROUND((((I48/G48*30.4)-VLOOKUP((I48/G48*30.4),TARIFA,1))*VLOOKUP((I48/G48*30.4),TARIFA,3)+VLOOKUP((I48/G48*30.4),TARIFA,2)-VLOOKUP((I48/G48*30.4),SUBSIDIO,2))/30.4*G48,2)&gt;0,ROUND((((I48/G48*30.4)-VLOOKUP((I48/G48*30.4),TARIFA,1))*VLOOKUP((I48/G48*30.4),TARIFA,3)+VLOOKUP((I48/G48*30.4),TARIFA,2)-VLOOKUP((I48/G48*30.4),SUBSIDIO,2))/30.4*G48,2),0),0)))</f>
        <v>0</v>
      </c>
      <c r="L48" s="108">
        <f>K48</f>
        <v>0</v>
      </c>
      <c r="M48" s="108">
        <f>I48+J48-L48</f>
        <v>0</v>
      </c>
      <c r="N48" s="124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</row>
    <row r="49" spans="1:97" ht="30" customHeight="1" x14ac:dyDescent="0.2">
      <c r="B49" s="120">
        <v>25</v>
      </c>
      <c r="C49" s="245"/>
      <c r="D49" s="111" t="s">
        <v>218</v>
      </c>
      <c r="E49" s="104" t="s">
        <v>120</v>
      </c>
      <c r="F49" s="105"/>
      <c r="G49" s="65">
        <v>15</v>
      </c>
      <c r="H49" s="108">
        <v>130.4</v>
      </c>
      <c r="I49" s="107">
        <f>ROUND(G49*H49,2)</f>
        <v>1956</v>
      </c>
      <c r="J49" s="179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80.02</v>
      </c>
      <c r="K49" s="179">
        <f>IF(H49&lt;=207.44,0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0</v>
      </c>
      <c r="L49" s="175">
        <v>0</v>
      </c>
      <c r="M49" s="108">
        <f>I49+J49-L49</f>
        <v>2036.02</v>
      </c>
      <c r="N49" s="124"/>
    </row>
    <row r="50" spans="1:97" ht="30" customHeight="1" x14ac:dyDescent="0.2">
      <c r="B50" s="120"/>
      <c r="C50" s="245"/>
      <c r="D50" s="74"/>
      <c r="E50" s="67" t="s">
        <v>34</v>
      </c>
      <c r="F50" s="385"/>
      <c r="G50" s="386"/>
      <c r="H50" s="248"/>
      <c r="I50" s="110">
        <f>SUM(I48:I49)</f>
        <v>1956</v>
      </c>
      <c r="J50" s="110">
        <f>SUM(J48:J49)</f>
        <v>80.02</v>
      </c>
      <c r="K50" s="110">
        <f>SUM(K48:K49)</f>
        <v>0</v>
      </c>
      <c r="L50" s="110">
        <f>SUM(L48:L49)</f>
        <v>0</v>
      </c>
      <c r="M50" s="110">
        <f>SUM(M48:M49)</f>
        <v>2036.02</v>
      </c>
      <c r="N50" s="123"/>
    </row>
    <row r="51" spans="1:97" s="5" customFormat="1" ht="30" customHeight="1" x14ac:dyDescent="0.2">
      <c r="B51" s="391" t="s">
        <v>82</v>
      </c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3"/>
    </row>
    <row r="52" spans="1:97" s="5" customFormat="1" ht="30" customHeight="1" x14ac:dyDescent="0.2">
      <c r="B52" s="120">
        <v>26</v>
      </c>
      <c r="C52" s="245"/>
      <c r="D52" s="111" t="s">
        <v>219</v>
      </c>
      <c r="E52" s="104" t="s">
        <v>36</v>
      </c>
      <c r="F52" s="105"/>
      <c r="G52" s="65">
        <v>15</v>
      </c>
      <c r="H52" s="108">
        <v>303</v>
      </c>
      <c r="I52" s="107">
        <f>G52*H52</f>
        <v>4545</v>
      </c>
      <c r="J52" s="179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179">
        <f>IF(H52&lt;=207.44,0,(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))</f>
        <v>338.03</v>
      </c>
      <c r="L52" s="108">
        <f>K52</f>
        <v>338.03</v>
      </c>
      <c r="M52" s="108">
        <f>I52+J52-L52</f>
        <v>4206.97</v>
      </c>
      <c r="N52" s="124"/>
    </row>
    <row r="53" spans="1:97" s="5" customFormat="1" ht="30" customHeight="1" x14ac:dyDescent="0.2">
      <c r="B53" s="120"/>
      <c r="C53" s="245"/>
      <c r="D53" s="74"/>
      <c r="E53" s="67" t="s">
        <v>34</v>
      </c>
      <c r="F53" s="385"/>
      <c r="G53" s="386"/>
      <c r="H53" s="248"/>
      <c r="I53" s="110">
        <f>SUM(I52:I52)</f>
        <v>4545</v>
      </c>
      <c r="J53" s="174">
        <f>SUM(J52:J52)</f>
        <v>0</v>
      </c>
      <c r="K53" s="110">
        <f>SUM(K52:K52)</f>
        <v>338.03</v>
      </c>
      <c r="L53" s="110">
        <f>SUM(L52:L52)</f>
        <v>338.03</v>
      </c>
      <c r="M53" s="110">
        <f>SUM(M52:M52)</f>
        <v>4206.97</v>
      </c>
      <c r="N53" s="123"/>
    </row>
    <row r="54" spans="1:97" s="5" customFormat="1" ht="30" customHeight="1" x14ac:dyDescent="0.2">
      <c r="B54" s="387" t="s">
        <v>46</v>
      </c>
      <c r="C54" s="388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90"/>
    </row>
    <row r="55" spans="1:97" s="86" customFormat="1" ht="30" customHeight="1" x14ac:dyDescent="0.2">
      <c r="A55" s="5"/>
      <c r="B55" s="120">
        <v>27</v>
      </c>
      <c r="C55" s="245" t="s">
        <v>430</v>
      </c>
      <c r="D55" s="111" t="s">
        <v>220</v>
      </c>
      <c r="E55" s="104" t="s">
        <v>86</v>
      </c>
      <c r="F55" s="105"/>
      <c r="G55" s="65">
        <v>15</v>
      </c>
      <c r="H55" s="108">
        <v>160.83000000000001</v>
      </c>
      <c r="I55" s="107">
        <f>ROUND(G55*H55,2)</f>
        <v>2412.4499999999998</v>
      </c>
      <c r="J55" s="107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22.39</v>
      </c>
      <c r="K55" s="175">
        <f>IF(H55&lt;=207.44,0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0</v>
      </c>
      <c r="L55" s="175">
        <f>K55</f>
        <v>0</v>
      </c>
      <c r="M55" s="108">
        <f>I55+J55-L55</f>
        <v>2434.8399999999997</v>
      </c>
      <c r="N55" s="12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</row>
    <row r="56" spans="1:97" s="5" customFormat="1" ht="30" customHeight="1" x14ac:dyDescent="0.2">
      <c r="B56" s="120"/>
      <c r="C56" s="245"/>
      <c r="D56" s="74"/>
      <c r="E56" s="67" t="s">
        <v>34</v>
      </c>
      <c r="F56" s="67"/>
      <c r="G56" s="65"/>
      <c r="H56" s="248"/>
      <c r="I56" s="110">
        <f>SUM(I55:I55)</f>
        <v>2412.4499999999998</v>
      </c>
      <c r="J56" s="110">
        <f>SUM(J55:J55)</f>
        <v>22.39</v>
      </c>
      <c r="K56" s="174">
        <f>SUM(K55:K55)</f>
        <v>0</v>
      </c>
      <c r="L56" s="174">
        <f>SUM(L55:L55)</f>
        <v>0</v>
      </c>
      <c r="M56" s="110">
        <f>SUM(M55:M55)</f>
        <v>2434.8399999999997</v>
      </c>
      <c r="N56" s="123"/>
    </row>
    <row r="57" spans="1:97" ht="30" customHeight="1" x14ac:dyDescent="0.2">
      <c r="B57" s="391" t="s">
        <v>47</v>
      </c>
      <c r="C57" s="392"/>
      <c r="D57" s="392"/>
      <c r="E57" s="392"/>
      <c r="F57" s="392"/>
      <c r="G57" s="392"/>
      <c r="H57" s="392"/>
      <c r="I57" s="392"/>
      <c r="J57" s="392"/>
      <c r="K57" s="392"/>
      <c r="L57" s="392"/>
      <c r="M57" s="392"/>
      <c r="N57" s="393"/>
    </row>
    <row r="58" spans="1:97" s="5" customFormat="1" ht="30" customHeight="1" x14ac:dyDescent="0.2">
      <c r="B58" s="120">
        <v>28</v>
      </c>
      <c r="C58" s="245"/>
      <c r="D58" s="109" t="s">
        <v>299</v>
      </c>
      <c r="E58" s="104" t="s">
        <v>119</v>
      </c>
      <c r="F58" s="105"/>
      <c r="G58" s="65">
        <v>0</v>
      </c>
      <c r="H58" s="108">
        <v>448.4</v>
      </c>
      <c r="I58" s="107">
        <f t="shared" ref="I58:I63" si="0">ROUND(G58*H58,2)</f>
        <v>0</v>
      </c>
      <c r="J58" s="179">
        <f t="shared" ref="J58:J63" si="1"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79">
        <f t="shared" ref="K58:K63" si="2">IF(H58&lt;=207.44,0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0</v>
      </c>
      <c r="L58" s="108">
        <f t="shared" ref="L58:L63" si="3">K58</f>
        <v>0</v>
      </c>
      <c r="M58" s="108">
        <f t="shared" ref="M58:M63" si="4">I58+J58-L58</f>
        <v>0</v>
      </c>
      <c r="N58" s="124"/>
    </row>
    <row r="59" spans="1:97" ht="30" customHeight="1" x14ac:dyDescent="0.2">
      <c r="B59" s="120">
        <v>29</v>
      </c>
      <c r="C59" s="245"/>
      <c r="D59" s="111" t="s">
        <v>300</v>
      </c>
      <c r="E59" s="104" t="s">
        <v>43</v>
      </c>
      <c r="F59" s="105"/>
      <c r="G59" s="65">
        <v>15</v>
      </c>
      <c r="H59" s="108">
        <v>251.93299999999999</v>
      </c>
      <c r="I59" s="107">
        <f t="shared" si="0"/>
        <v>3779</v>
      </c>
      <c r="J59" s="179">
        <f t="shared" si="1"/>
        <v>0</v>
      </c>
      <c r="K59" s="179">
        <f t="shared" si="2"/>
        <v>254.69</v>
      </c>
      <c r="L59" s="108">
        <f t="shared" si="3"/>
        <v>254.69</v>
      </c>
      <c r="M59" s="108">
        <f t="shared" si="4"/>
        <v>3524.31</v>
      </c>
      <c r="N59" s="124"/>
    </row>
    <row r="60" spans="1:97" ht="30" customHeight="1" x14ac:dyDescent="0.2">
      <c r="B60" s="120">
        <v>30</v>
      </c>
      <c r="C60" s="245"/>
      <c r="D60" s="111" t="s">
        <v>301</v>
      </c>
      <c r="E60" s="104" t="s">
        <v>48</v>
      </c>
      <c r="F60" s="105"/>
      <c r="G60" s="65">
        <v>15</v>
      </c>
      <c r="H60" s="108">
        <v>202.43</v>
      </c>
      <c r="I60" s="107">
        <f t="shared" si="0"/>
        <v>3036.45</v>
      </c>
      <c r="J60" s="179">
        <f t="shared" si="1"/>
        <v>0</v>
      </c>
      <c r="K60" s="179">
        <f t="shared" si="2"/>
        <v>0</v>
      </c>
      <c r="L60" s="175">
        <f t="shared" si="3"/>
        <v>0</v>
      </c>
      <c r="M60" s="108">
        <f t="shared" si="4"/>
        <v>3036.45</v>
      </c>
      <c r="N60" s="124"/>
    </row>
    <row r="61" spans="1:97" ht="30" customHeight="1" x14ac:dyDescent="0.2">
      <c r="B61" s="120">
        <v>31</v>
      </c>
      <c r="C61" s="245" t="s">
        <v>430</v>
      </c>
      <c r="D61" s="111" t="s">
        <v>302</v>
      </c>
      <c r="E61" s="104" t="s">
        <v>49</v>
      </c>
      <c r="F61" s="105"/>
      <c r="G61" s="65">
        <v>15</v>
      </c>
      <c r="H61" s="108">
        <v>254.18690000000001</v>
      </c>
      <c r="I61" s="107">
        <f t="shared" si="0"/>
        <v>3812.8</v>
      </c>
      <c r="J61" s="179">
        <f t="shared" si="1"/>
        <v>0</v>
      </c>
      <c r="K61" s="179">
        <f t="shared" si="2"/>
        <v>258.37</v>
      </c>
      <c r="L61" s="108">
        <f t="shared" si="3"/>
        <v>258.37</v>
      </c>
      <c r="M61" s="108">
        <f t="shared" si="4"/>
        <v>3554.4300000000003</v>
      </c>
      <c r="N61" s="124"/>
    </row>
    <row r="62" spans="1:97" ht="30" customHeight="1" x14ac:dyDescent="0.2">
      <c r="B62" s="120">
        <v>32</v>
      </c>
      <c r="C62" s="245" t="s">
        <v>430</v>
      </c>
      <c r="D62" s="111" t="s">
        <v>303</v>
      </c>
      <c r="E62" s="104" t="s">
        <v>49</v>
      </c>
      <c r="F62" s="105"/>
      <c r="G62" s="65">
        <v>15</v>
      </c>
      <c r="H62" s="108">
        <v>219.86660000000001</v>
      </c>
      <c r="I62" s="107">
        <f t="shared" si="0"/>
        <v>3298</v>
      </c>
      <c r="J62" s="179">
        <f t="shared" si="1"/>
        <v>0</v>
      </c>
      <c r="K62" s="179">
        <f t="shared" si="2"/>
        <v>77.260000000000005</v>
      </c>
      <c r="L62" s="108">
        <f t="shared" si="3"/>
        <v>77.260000000000005</v>
      </c>
      <c r="M62" s="108">
        <f t="shared" si="4"/>
        <v>3220.74</v>
      </c>
      <c r="N62" s="124"/>
    </row>
    <row r="63" spans="1:97" ht="30" customHeight="1" x14ac:dyDescent="0.2">
      <c r="B63" s="120">
        <v>33</v>
      </c>
      <c r="C63" s="245"/>
      <c r="D63" s="111" t="s">
        <v>304</v>
      </c>
      <c r="E63" s="104" t="s">
        <v>50</v>
      </c>
      <c r="F63" s="105"/>
      <c r="G63" s="65">
        <v>15</v>
      </c>
      <c r="H63" s="108">
        <v>370.03199999999998</v>
      </c>
      <c r="I63" s="107">
        <f t="shared" si="0"/>
        <v>5550.48</v>
      </c>
      <c r="J63" s="179">
        <f t="shared" si="1"/>
        <v>0</v>
      </c>
      <c r="K63" s="179">
        <f t="shared" si="2"/>
        <v>450.48</v>
      </c>
      <c r="L63" s="108">
        <f t="shared" si="3"/>
        <v>450.48</v>
      </c>
      <c r="M63" s="108">
        <f t="shared" si="4"/>
        <v>5100</v>
      </c>
      <c r="N63" s="124"/>
    </row>
    <row r="64" spans="1:97" ht="30" customHeight="1" x14ac:dyDescent="0.2">
      <c r="B64" s="120"/>
      <c r="C64" s="245"/>
      <c r="D64" s="74"/>
      <c r="E64" s="67" t="s">
        <v>34</v>
      </c>
      <c r="F64" s="385"/>
      <c r="G64" s="386"/>
      <c r="H64" s="248"/>
      <c r="I64" s="110">
        <f>SUM(I58:I63)</f>
        <v>19476.73</v>
      </c>
      <c r="J64" s="110">
        <f>SUM(J58:J63)</f>
        <v>0</v>
      </c>
      <c r="K64" s="110">
        <f>SUM(K58:K63)</f>
        <v>1040.8</v>
      </c>
      <c r="L64" s="110">
        <f>SUM(L58:L63)</f>
        <v>1040.8</v>
      </c>
      <c r="M64" s="110">
        <f>SUM(M58:M63)</f>
        <v>18435.93</v>
      </c>
      <c r="N64" s="123"/>
    </row>
    <row r="65" spans="1:97" s="5" customFormat="1" ht="30" customHeight="1" x14ac:dyDescent="0.2">
      <c r="B65" s="387" t="s">
        <v>377</v>
      </c>
      <c r="C65" s="388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90"/>
    </row>
    <row r="66" spans="1:97" s="5" customFormat="1" ht="30" customHeight="1" x14ac:dyDescent="0.2">
      <c r="B66" s="120">
        <v>34</v>
      </c>
      <c r="C66" s="245"/>
      <c r="D66" s="111" t="s">
        <v>298</v>
      </c>
      <c r="E66" s="104" t="s">
        <v>36</v>
      </c>
      <c r="F66" s="104"/>
      <c r="G66" s="65">
        <v>15</v>
      </c>
      <c r="H66" s="108">
        <v>303</v>
      </c>
      <c r="I66" s="107">
        <f>ROUND(G66*H66,2)</f>
        <v>4545</v>
      </c>
      <c r="J66" s="179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79">
        <f>IF(H66&lt;=207.44,0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338.03</v>
      </c>
      <c r="L66" s="108">
        <f>K66</f>
        <v>338.03</v>
      </c>
      <c r="M66" s="108">
        <f>I66+J66-L66</f>
        <v>4206.97</v>
      </c>
      <c r="N66" s="124"/>
    </row>
    <row r="67" spans="1:97" s="5" customFormat="1" ht="30" customHeight="1" x14ac:dyDescent="0.2">
      <c r="B67" s="120"/>
      <c r="C67" s="245"/>
      <c r="D67" s="74"/>
      <c r="E67" s="67" t="s">
        <v>34</v>
      </c>
      <c r="F67" s="385"/>
      <c r="G67" s="386"/>
      <c r="H67" s="248"/>
      <c r="I67" s="110">
        <f>+I66</f>
        <v>4545</v>
      </c>
      <c r="J67" s="174">
        <f>+J66</f>
        <v>0</v>
      </c>
      <c r="K67" s="110">
        <f>+K66</f>
        <v>338.03</v>
      </c>
      <c r="L67" s="110">
        <f>+L66</f>
        <v>338.03</v>
      </c>
      <c r="M67" s="110">
        <f>+M66</f>
        <v>4206.97</v>
      </c>
      <c r="N67" s="123"/>
    </row>
    <row r="68" spans="1:97" ht="30" customHeight="1" x14ac:dyDescent="0.2">
      <c r="B68" s="391" t="s">
        <v>53</v>
      </c>
      <c r="C68" s="392"/>
      <c r="D68" s="392"/>
      <c r="E68" s="392"/>
      <c r="F68" s="392"/>
      <c r="G68" s="392"/>
      <c r="H68" s="392"/>
      <c r="I68" s="392"/>
      <c r="J68" s="392"/>
      <c r="K68" s="392"/>
      <c r="L68" s="392"/>
      <c r="M68" s="392"/>
      <c r="N68" s="393"/>
    </row>
    <row r="69" spans="1:97" ht="30" customHeight="1" x14ac:dyDescent="0.2">
      <c r="B69" s="120">
        <v>35</v>
      </c>
      <c r="C69" s="245"/>
      <c r="D69" s="111" t="s">
        <v>297</v>
      </c>
      <c r="E69" s="104" t="s">
        <v>52</v>
      </c>
      <c r="F69" s="105"/>
      <c r="G69" s="65">
        <v>15</v>
      </c>
      <c r="H69" s="108">
        <v>313.33300000000003</v>
      </c>
      <c r="I69" s="107">
        <f>ROUND(G69*H69,2)</f>
        <v>4700</v>
      </c>
      <c r="J69" s="179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79">
        <f>IF(H69&lt;=207.44,0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354.9</v>
      </c>
      <c r="L69" s="108">
        <f>K69</f>
        <v>354.9</v>
      </c>
      <c r="M69" s="108">
        <f>I69+J69-L69</f>
        <v>4345.1000000000004</v>
      </c>
      <c r="N69" s="124"/>
    </row>
    <row r="70" spans="1:97" ht="30" customHeight="1" x14ac:dyDescent="0.2">
      <c r="B70" s="120">
        <v>36</v>
      </c>
      <c r="C70" s="245"/>
      <c r="D70" s="111" t="s">
        <v>296</v>
      </c>
      <c r="E70" s="104" t="s">
        <v>108</v>
      </c>
      <c r="F70" s="105"/>
      <c r="G70" s="65">
        <v>15</v>
      </c>
      <c r="H70" s="108">
        <v>166.66659999999999</v>
      </c>
      <c r="I70" s="107">
        <f>ROUND(G70*H70,2)</f>
        <v>2500</v>
      </c>
      <c r="J70" s="179">
        <f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16.79</v>
      </c>
      <c r="K70" s="179">
        <f>IF(H70&lt;=207.44,0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75">
        <f>K70</f>
        <v>0</v>
      </c>
      <c r="M70" s="108">
        <f>I70+J70-L70</f>
        <v>2516.79</v>
      </c>
      <c r="N70" s="124"/>
    </row>
    <row r="71" spans="1:97" ht="30" customHeight="1" x14ac:dyDescent="0.2">
      <c r="B71" s="120">
        <v>37</v>
      </c>
      <c r="C71" s="245"/>
      <c r="D71" s="111" t="s">
        <v>295</v>
      </c>
      <c r="E71" s="104" t="s">
        <v>118</v>
      </c>
      <c r="F71" s="104"/>
      <c r="G71" s="65">
        <v>15</v>
      </c>
      <c r="H71" s="108">
        <v>138.333</v>
      </c>
      <c r="I71" s="107">
        <f>ROUND(G71*H71,2)</f>
        <v>2075</v>
      </c>
      <c r="J71" s="179">
        <f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72.41</v>
      </c>
      <c r="K71" s="179">
        <f>IF(H71&lt;=207.44,0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0</v>
      </c>
      <c r="L71" s="175">
        <f>K71</f>
        <v>0</v>
      </c>
      <c r="M71" s="108">
        <f>I71+J71-L71</f>
        <v>2147.41</v>
      </c>
      <c r="N71" s="124"/>
    </row>
    <row r="72" spans="1:97" ht="30" customHeight="1" x14ac:dyDescent="0.2">
      <c r="B72" s="120"/>
      <c r="C72" s="245"/>
      <c r="D72" s="74"/>
      <c r="E72" s="67" t="s">
        <v>34</v>
      </c>
      <c r="F72" s="385"/>
      <c r="G72" s="386"/>
      <c r="H72" s="248"/>
      <c r="I72" s="110">
        <f>SUM(I69:I71)</f>
        <v>9275</v>
      </c>
      <c r="J72" s="110">
        <f>SUM(J69:J71)</f>
        <v>89.199999999999989</v>
      </c>
      <c r="K72" s="110">
        <f>SUM(K69:K71)</f>
        <v>354.9</v>
      </c>
      <c r="L72" s="110">
        <f>SUM(L69:L71)</f>
        <v>354.9</v>
      </c>
      <c r="M72" s="110">
        <f>SUM(M69:M71)</f>
        <v>9009.2999999999993</v>
      </c>
      <c r="N72" s="123"/>
    </row>
    <row r="73" spans="1:97" ht="30" customHeight="1" x14ac:dyDescent="0.2">
      <c r="B73" s="391" t="s">
        <v>54</v>
      </c>
      <c r="C73" s="392"/>
      <c r="D73" s="392"/>
      <c r="E73" s="392"/>
      <c r="F73" s="392"/>
      <c r="G73" s="392"/>
      <c r="H73" s="392"/>
      <c r="I73" s="392"/>
      <c r="J73" s="392"/>
      <c r="K73" s="392"/>
      <c r="L73" s="392"/>
      <c r="M73" s="392"/>
      <c r="N73" s="393"/>
    </row>
    <row r="74" spans="1:97" s="5" customFormat="1" ht="30" customHeight="1" x14ac:dyDescent="0.2">
      <c r="B74" s="120">
        <v>38</v>
      </c>
      <c r="C74" s="245"/>
      <c r="D74" s="111" t="s">
        <v>163</v>
      </c>
      <c r="E74" s="104" t="s">
        <v>52</v>
      </c>
      <c r="F74" s="105"/>
      <c r="G74" s="65">
        <v>15</v>
      </c>
      <c r="H74" s="108">
        <v>313.33300000000003</v>
      </c>
      <c r="I74" s="107">
        <f>ROUND(G74*H74,2)</f>
        <v>4700</v>
      </c>
      <c r="J74" s="179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79">
        <f>IF(H74&lt;=207.44,0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354.9</v>
      </c>
      <c r="L74" s="108">
        <f>K74</f>
        <v>354.9</v>
      </c>
      <c r="M74" s="108">
        <f>I74+J74-L74</f>
        <v>4345.1000000000004</v>
      </c>
      <c r="N74" s="124"/>
    </row>
    <row r="75" spans="1:97" s="88" customFormat="1" ht="30" customHeight="1" x14ac:dyDescent="0.2">
      <c r="A75" s="28"/>
      <c r="B75" s="120">
        <v>39</v>
      </c>
      <c r="C75" s="245"/>
      <c r="D75" s="111" t="s">
        <v>294</v>
      </c>
      <c r="E75" s="104" t="s">
        <v>41</v>
      </c>
      <c r="F75" s="105"/>
      <c r="G75" s="65">
        <v>15</v>
      </c>
      <c r="H75" s="108">
        <v>119.6666</v>
      </c>
      <c r="I75" s="107">
        <f>ROUND(G75*H75,2)</f>
        <v>1795</v>
      </c>
      <c r="J75" s="107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90.33</v>
      </c>
      <c r="K75" s="175">
        <f>IF(H75&lt;=207.44,0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75">
        <f>K75</f>
        <v>0</v>
      </c>
      <c r="M75" s="108">
        <f>I75+J75-L75</f>
        <v>1885.33</v>
      </c>
      <c r="N75" s="124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20"/>
      <c r="C76" s="245"/>
      <c r="D76" s="74"/>
      <c r="E76" s="67" t="s">
        <v>34</v>
      </c>
      <c r="F76" s="385"/>
      <c r="G76" s="386"/>
      <c r="H76" s="248"/>
      <c r="I76" s="110">
        <f>SUM(I74:I75)</f>
        <v>6495</v>
      </c>
      <c r="J76" s="110">
        <f>SUM(J74:J75)</f>
        <v>90.33</v>
      </c>
      <c r="K76" s="110">
        <f>SUM(K74:K75)</f>
        <v>354.9</v>
      </c>
      <c r="L76" s="110">
        <f>SUM(L74:L75)</f>
        <v>354.9</v>
      </c>
      <c r="M76" s="110">
        <f>SUM(M74:M75)</f>
        <v>6230.43</v>
      </c>
      <c r="N76" s="123"/>
    </row>
    <row r="77" spans="1:97" s="33" customFormat="1" ht="30" customHeight="1" x14ac:dyDescent="0.2">
      <c r="A77" s="28"/>
      <c r="B77" s="387" t="s">
        <v>56</v>
      </c>
      <c r="C77" s="388"/>
      <c r="D77" s="389"/>
      <c r="E77" s="389"/>
      <c r="F77" s="389"/>
      <c r="G77" s="389"/>
      <c r="H77" s="389"/>
      <c r="I77" s="389"/>
      <c r="J77" s="389"/>
      <c r="K77" s="389"/>
      <c r="L77" s="389"/>
      <c r="M77" s="389"/>
      <c r="N77" s="390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</row>
    <row r="78" spans="1:97" ht="30" customHeight="1" x14ac:dyDescent="0.2">
      <c r="B78" s="120">
        <v>40</v>
      </c>
      <c r="C78" s="245" t="s">
        <v>430</v>
      </c>
      <c r="D78" s="111" t="s">
        <v>463</v>
      </c>
      <c r="E78" s="104" t="s">
        <v>52</v>
      </c>
      <c r="F78" s="105"/>
      <c r="G78" s="65">
        <v>15</v>
      </c>
      <c r="H78" s="108">
        <v>267.53300000000002</v>
      </c>
      <c r="I78" s="107">
        <f>ROUND(G78*H78,2)</f>
        <v>4013</v>
      </c>
      <c r="J78" s="173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08">
        <f>IF(H78&lt;=207.44,0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280.14999999999998</v>
      </c>
      <c r="L78" s="108">
        <f>K78</f>
        <v>280.14999999999998</v>
      </c>
      <c r="M78" s="108">
        <f>I78+J78-L78</f>
        <v>3732.85</v>
      </c>
      <c r="N78" s="124"/>
    </row>
    <row r="79" spans="1:97" ht="30" customHeight="1" x14ac:dyDescent="0.2">
      <c r="B79" s="120"/>
      <c r="C79" s="245"/>
      <c r="D79" s="77"/>
      <c r="E79" s="67" t="s">
        <v>34</v>
      </c>
      <c r="F79" s="385"/>
      <c r="G79" s="386"/>
      <c r="H79" s="248"/>
      <c r="I79" s="110">
        <f>SUM(I78:I78)</f>
        <v>4013</v>
      </c>
      <c r="J79" s="174">
        <f>SUM(J78:J78)</f>
        <v>0</v>
      </c>
      <c r="K79" s="110">
        <f>SUM(K78:K78)</f>
        <v>280.14999999999998</v>
      </c>
      <c r="L79" s="110">
        <f>SUM(L78:L78)</f>
        <v>280.14999999999998</v>
      </c>
      <c r="M79" s="110">
        <f>SUM(M78:M78)</f>
        <v>3732.85</v>
      </c>
      <c r="N79" s="123"/>
    </row>
    <row r="80" spans="1:97" s="33" customFormat="1" ht="30" customHeight="1" x14ac:dyDescent="0.2">
      <c r="A80" s="28"/>
      <c r="B80" s="387" t="s">
        <v>51</v>
      </c>
      <c r="C80" s="388"/>
      <c r="D80" s="389"/>
      <c r="E80" s="389"/>
      <c r="F80" s="389"/>
      <c r="G80" s="389"/>
      <c r="H80" s="389"/>
      <c r="I80" s="389"/>
      <c r="J80" s="389"/>
      <c r="K80" s="389"/>
      <c r="L80" s="389"/>
      <c r="M80" s="389"/>
      <c r="N80" s="390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</row>
    <row r="81" spans="1:97" s="88" customFormat="1" ht="30" customHeight="1" x14ac:dyDescent="0.2">
      <c r="A81" s="28"/>
      <c r="B81" s="120">
        <v>41</v>
      </c>
      <c r="C81" s="245"/>
      <c r="D81" s="111" t="s">
        <v>330</v>
      </c>
      <c r="E81" s="104" t="s">
        <v>52</v>
      </c>
      <c r="F81" s="105"/>
      <c r="G81" s="65">
        <v>15</v>
      </c>
      <c r="H81" s="108">
        <v>267.53300000000002</v>
      </c>
      <c r="I81" s="107">
        <f>ROUND(G81*H81,2)</f>
        <v>4013</v>
      </c>
      <c r="J81" s="173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108">
        <f>IF(H81&lt;=207.44,0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280.14999999999998</v>
      </c>
      <c r="L81" s="108">
        <f>K81</f>
        <v>280.14999999999998</v>
      </c>
      <c r="M81" s="108">
        <f>I81+J81-L81</f>
        <v>3732.85</v>
      </c>
      <c r="N81" s="124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</row>
    <row r="82" spans="1:97" ht="30" customHeight="1" x14ac:dyDescent="0.2">
      <c r="B82" s="120"/>
      <c r="C82" s="245"/>
      <c r="D82" s="77"/>
      <c r="E82" s="67" t="s">
        <v>34</v>
      </c>
      <c r="F82" s="385"/>
      <c r="G82" s="386"/>
      <c r="H82" s="248"/>
      <c r="I82" s="110">
        <f>SUM(I81:I81)</f>
        <v>4013</v>
      </c>
      <c r="J82" s="174">
        <f>SUM(J81:J81)</f>
        <v>0</v>
      </c>
      <c r="K82" s="110">
        <f>SUM(K81:K81)</f>
        <v>280.14999999999998</v>
      </c>
      <c r="L82" s="110">
        <f>SUM(L81:L81)</f>
        <v>280.14999999999998</v>
      </c>
      <c r="M82" s="110">
        <f>SUM(M81:M81)</f>
        <v>3732.85</v>
      </c>
      <c r="N82" s="123"/>
    </row>
    <row r="83" spans="1:97" ht="30" customHeight="1" x14ac:dyDescent="0.2">
      <c r="B83" s="387" t="s">
        <v>58</v>
      </c>
      <c r="C83" s="388"/>
      <c r="D83" s="389"/>
      <c r="E83" s="389"/>
      <c r="F83" s="389"/>
      <c r="G83" s="389"/>
      <c r="H83" s="389"/>
      <c r="I83" s="389"/>
      <c r="J83" s="389"/>
      <c r="K83" s="389"/>
      <c r="L83" s="389"/>
      <c r="M83" s="389"/>
      <c r="N83" s="390"/>
    </row>
    <row r="84" spans="1:97" ht="30" customHeight="1" x14ac:dyDescent="0.2">
      <c r="B84" s="120">
        <v>42</v>
      </c>
      <c r="C84" s="245"/>
      <c r="D84" s="111" t="s">
        <v>293</v>
      </c>
      <c r="E84" s="104" t="s">
        <v>59</v>
      </c>
      <c r="F84" s="105"/>
      <c r="G84" s="65">
        <v>15</v>
      </c>
      <c r="H84" s="108">
        <v>205.8</v>
      </c>
      <c r="I84" s="107">
        <f>ROUND(G84*H84,2)</f>
        <v>3087</v>
      </c>
      <c r="J84" s="173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0</v>
      </c>
      <c r="K84" s="175">
        <f>IF(H84&lt;=207.44,0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75">
        <f>K84</f>
        <v>0</v>
      </c>
      <c r="M84" s="108">
        <f>I84+J84-L84</f>
        <v>3087</v>
      </c>
      <c r="N84" s="124"/>
    </row>
    <row r="85" spans="1:97" s="88" customFormat="1" ht="30" customHeight="1" x14ac:dyDescent="0.2">
      <c r="A85" s="28"/>
      <c r="B85" s="120">
        <v>43</v>
      </c>
      <c r="C85" s="245" t="s">
        <v>430</v>
      </c>
      <c r="D85" s="111" t="s">
        <v>292</v>
      </c>
      <c r="E85" s="104" t="s">
        <v>69</v>
      </c>
      <c r="F85" s="105"/>
      <c r="G85" s="65">
        <v>15</v>
      </c>
      <c r="H85" s="108">
        <v>220.86660000000001</v>
      </c>
      <c r="I85" s="107">
        <f>ROUND(G85*H85,2)</f>
        <v>3313</v>
      </c>
      <c r="J85" s="173">
        <f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0</v>
      </c>
      <c r="K85" s="108">
        <f>IF(H85&lt;=207.44,0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78.89</v>
      </c>
      <c r="L85" s="108">
        <f>K85</f>
        <v>78.89</v>
      </c>
      <c r="M85" s="108">
        <f>I85+J85-L85</f>
        <v>3234.11</v>
      </c>
      <c r="N85" s="124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</row>
    <row r="86" spans="1:97" ht="30" customHeight="1" x14ac:dyDescent="0.2">
      <c r="B86" s="120"/>
      <c r="C86" s="245"/>
      <c r="D86" s="74"/>
      <c r="E86" s="67" t="s">
        <v>34</v>
      </c>
      <c r="F86" s="67"/>
      <c r="G86" s="67"/>
      <c r="H86" s="248"/>
      <c r="I86" s="110">
        <f>SUM(I84:I85)</f>
        <v>6400</v>
      </c>
      <c r="J86" s="174">
        <f>SUM(J84:J85)</f>
        <v>0</v>
      </c>
      <c r="K86" s="110">
        <f>SUM(K84:K85)</f>
        <v>78.89</v>
      </c>
      <c r="L86" s="110">
        <f>SUM(L84:L85)</f>
        <v>78.89</v>
      </c>
      <c r="M86" s="110">
        <f>SUM(M84:M85)</f>
        <v>6321.1100000000006</v>
      </c>
      <c r="N86" s="123"/>
    </row>
    <row r="87" spans="1:97" ht="30" customHeight="1" x14ac:dyDescent="0.2">
      <c r="B87" s="391" t="s">
        <v>60</v>
      </c>
      <c r="C87" s="392"/>
      <c r="D87" s="392"/>
      <c r="E87" s="392"/>
      <c r="F87" s="392"/>
      <c r="G87" s="392"/>
      <c r="H87" s="392"/>
      <c r="I87" s="392"/>
      <c r="J87" s="392"/>
      <c r="K87" s="392"/>
      <c r="L87" s="392"/>
      <c r="M87" s="392"/>
      <c r="N87" s="393"/>
    </row>
    <row r="88" spans="1:97" s="5" customFormat="1" ht="30" customHeight="1" x14ac:dyDescent="0.2">
      <c r="B88" s="120">
        <v>44</v>
      </c>
      <c r="C88" s="245"/>
      <c r="D88" s="109" t="s">
        <v>146</v>
      </c>
      <c r="E88" s="104" t="s">
        <v>36</v>
      </c>
      <c r="F88" s="104"/>
      <c r="G88" s="65">
        <v>0</v>
      </c>
      <c r="H88" s="108">
        <v>575.53300000000002</v>
      </c>
      <c r="I88" s="107">
        <f>ROUND(G88*H88,2)</f>
        <v>0</v>
      </c>
      <c r="J88" s="173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108">
        <f>IF(H88&lt;=207.44,0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0</v>
      </c>
      <c r="L88" s="108">
        <f>K88</f>
        <v>0</v>
      </c>
      <c r="M88" s="108">
        <f>I88+J88-L88</f>
        <v>0</v>
      </c>
      <c r="N88" s="124"/>
    </row>
    <row r="89" spans="1:97" s="88" customFormat="1" ht="30" customHeight="1" x14ac:dyDescent="0.2">
      <c r="A89" s="28"/>
      <c r="B89" s="120">
        <v>45</v>
      </c>
      <c r="C89" s="245" t="s">
        <v>430</v>
      </c>
      <c r="D89" s="111" t="s">
        <v>291</v>
      </c>
      <c r="E89" s="104" t="s">
        <v>43</v>
      </c>
      <c r="F89" s="105"/>
      <c r="G89" s="65">
        <v>15</v>
      </c>
      <c r="H89" s="108">
        <v>166.66659999999999</v>
      </c>
      <c r="I89" s="107">
        <f>ROUND(G89*H89,2)</f>
        <v>2500</v>
      </c>
      <c r="J89" s="107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16.79</v>
      </c>
      <c r="K89" s="175">
        <f>IF(H89&lt;=207.44,0,(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))</f>
        <v>0</v>
      </c>
      <c r="L89" s="175">
        <v>0</v>
      </c>
      <c r="M89" s="108">
        <f>I89+J89-L89</f>
        <v>2516.79</v>
      </c>
      <c r="N89" s="124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</row>
    <row r="90" spans="1:97" s="5" customFormat="1" ht="30" customHeight="1" x14ac:dyDescent="0.2">
      <c r="B90" s="120">
        <v>46</v>
      </c>
      <c r="C90" s="245"/>
      <c r="D90" s="111" t="s">
        <v>290</v>
      </c>
      <c r="E90" s="104" t="s">
        <v>83</v>
      </c>
      <c r="F90" s="105"/>
      <c r="G90" s="65">
        <v>0</v>
      </c>
      <c r="H90" s="108">
        <v>291.33300000000003</v>
      </c>
      <c r="I90" s="107">
        <f>ROUND(G90*H90,2)</f>
        <v>0</v>
      </c>
      <c r="J90" s="173">
        <f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0</v>
      </c>
      <c r="K90" s="108">
        <f>IF(H90&lt;=207.44,0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0</v>
      </c>
      <c r="L90" s="108">
        <f>K90</f>
        <v>0</v>
      </c>
      <c r="M90" s="108">
        <f>I90+J90-L90</f>
        <v>0</v>
      </c>
      <c r="N90" s="124"/>
    </row>
    <row r="91" spans="1:97" ht="30" customHeight="1" x14ac:dyDescent="0.2">
      <c r="B91" s="120"/>
      <c r="C91" s="245"/>
      <c r="D91" s="74"/>
      <c r="E91" s="67" t="s">
        <v>34</v>
      </c>
      <c r="F91" s="385"/>
      <c r="G91" s="386"/>
      <c r="H91" s="248"/>
      <c r="I91" s="110">
        <f>SUM(I88:I90)</f>
        <v>2500</v>
      </c>
      <c r="J91" s="110">
        <f>SUM(J88:J90)</f>
        <v>16.79</v>
      </c>
      <c r="K91" s="110">
        <f>SUM(K88:K90)</f>
        <v>0</v>
      </c>
      <c r="L91" s="110">
        <f>SUM(L88:L90)</f>
        <v>0</v>
      </c>
      <c r="M91" s="110">
        <f>SUM(M88:M90)</f>
        <v>2516.79</v>
      </c>
      <c r="N91" s="123"/>
    </row>
    <row r="92" spans="1:97" ht="30" customHeight="1" x14ac:dyDescent="0.2">
      <c r="B92" s="387" t="s">
        <v>78</v>
      </c>
      <c r="C92" s="388"/>
      <c r="D92" s="389"/>
      <c r="E92" s="389"/>
      <c r="F92" s="389"/>
      <c r="G92" s="389"/>
      <c r="H92" s="389"/>
      <c r="I92" s="389"/>
      <c r="J92" s="389"/>
      <c r="K92" s="389"/>
      <c r="L92" s="389"/>
      <c r="M92" s="389"/>
      <c r="N92" s="390"/>
    </row>
    <row r="93" spans="1:97" ht="30" customHeight="1" x14ac:dyDescent="0.2">
      <c r="B93" s="120">
        <v>47</v>
      </c>
      <c r="C93" s="245"/>
      <c r="D93" s="111" t="s">
        <v>289</v>
      </c>
      <c r="E93" s="104" t="s">
        <v>36</v>
      </c>
      <c r="F93" s="105"/>
      <c r="G93" s="65">
        <v>15</v>
      </c>
      <c r="H93" s="108">
        <v>303</v>
      </c>
      <c r="I93" s="107">
        <f>ROUND(G93*H93,2)</f>
        <v>4545</v>
      </c>
      <c r="J93" s="173">
        <f>IFERROR(IF(ROUND((((I93/G93*30.4)-VLOOKUP((I93/G93*30.4),TARIFA,1))*VLOOKUP((I93/G93*30.4),TARIFA,3)+VLOOKUP((I93/G93*30.4),TARIFA,2)-VLOOKUP((I93/G93*30.4),SUBSIDIO,2))/30.4*G93,2)&lt;0,ROUND(-(((I93/G93*30.4)-VLOOKUP((I93/G93*30.4),TARIFA,1))*VLOOKUP((I93/G93*30.4),TARIFA,3)+VLOOKUP((I93/G93*30.4),TARIFA,2)-VLOOKUP((I93/G93*30.4),SUBSIDIO,2))/30.4*G93,2),0),0)</f>
        <v>0</v>
      </c>
      <c r="K93" s="108">
        <f>IF(H93&lt;=207.44,0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338.03</v>
      </c>
      <c r="L93" s="108">
        <f>K93</f>
        <v>338.03</v>
      </c>
      <c r="M93" s="108">
        <f>I93+J93-L93</f>
        <v>4206.97</v>
      </c>
      <c r="N93" s="124"/>
    </row>
    <row r="94" spans="1:97" ht="30" customHeight="1" x14ac:dyDescent="0.2">
      <c r="B94" s="120"/>
      <c r="C94" s="245"/>
      <c r="D94" s="74"/>
      <c r="E94" s="67" t="s">
        <v>34</v>
      </c>
      <c r="F94" s="237"/>
      <c r="G94" s="238"/>
      <c r="H94" s="248"/>
      <c r="I94" s="110">
        <f>SUM(I93:I93)</f>
        <v>4545</v>
      </c>
      <c r="J94" s="174">
        <f>SUM(J93:J93)</f>
        <v>0</v>
      </c>
      <c r="K94" s="110">
        <f>SUM(K93:K93)</f>
        <v>338.03</v>
      </c>
      <c r="L94" s="110">
        <f>SUM(L93:L93)</f>
        <v>338.03</v>
      </c>
      <c r="M94" s="110">
        <f>SUM(M93:M93)</f>
        <v>4206.97</v>
      </c>
      <c r="N94" s="123"/>
    </row>
    <row r="95" spans="1:97" ht="30" customHeight="1" x14ac:dyDescent="0.2">
      <c r="B95" s="387" t="s">
        <v>89</v>
      </c>
      <c r="C95" s="388"/>
      <c r="D95" s="389"/>
      <c r="E95" s="389"/>
      <c r="F95" s="389"/>
      <c r="G95" s="389"/>
      <c r="H95" s="389"/>
      <c r="I95" s="389"/>
      <c r="J95" s="389"/>
      <c r="K95" s="389"/>
      <c r="L95" s="389"/>
      <c r="M95" s="389"/>
      <c r="N95" s="390"/>
    </row>
    <row r="96" spans="1:97" s="88" customFormat="1" ht="30" customHeight="1" x14ac:dyDescent="0.2">
      <c r="A96" s="28"/>
      <c r="B96" s="120">
        <v>48</v>
      </c>
      <c r="C96" s="245" t="s">
        <v>430</v>
      </c>
      <c r="D96" s="111" t="s">
        <v>288</v>
      </c>
      <c r="E96" s="104" t="s">
        <v>36</v>
      </c>
      <c r="F96" s="105"/>
      <c r="G96" s="65">
        <v>0</v>
      </c>
      <c r="H96" s="108">
        <v>448.4</v>
      </c>
      <c r="I96" s="107">
        <f>ROUND(G96*H96,2)</f>
        <v>0</v>
      </c>
      <c r="J96" s="173">
        <f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0</v>
      </c>
      <c r="K96" s="108">
        <f>IF(H96&lt;=207.44,0,(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))</f>
        <v>0</v>
      </c>
      <c r="L96" s="108">
        <f>K96</f>
        <v>0</v>
      </c>
      <c r="M96" s="108">
        <f>I96+J96-L96</f>
        <v>0</v>
      </c>
      <c r="N96" s="124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</row>
    <row r="97" spans="2:14" ht="30" customHeight="1" x14ac:dyDescent="0.2">
      <c r="B97" s="120">
        <v>49</v>
      </c>
      <c r="C97" s="245"/>
      <c r="D97" s="111" t="s">
        <v>178</v>
      </c>
      <c r="E97" s="104" t="s">
        <v>43</v>
      </c>
      <c r="F97" s="249"/>
      <c r="G97" s="65">
        <v>15</v>
      </c>
      <c r="H97" s="108">
        <v>166.66659999999999</v>
      </c>
      <c r="I97" s="107">
        <f>ROUND(G97*H97,2)</f>
        <v>2500</v>
      </c>
      <c r="J97" s="107">
        <f>IFERROR(IF(ROUND((((I97/G97*30.4)-VLOOKUP((I97/G97*30.4),TARIFA,1))*VLOOKUP((I97/G97*30.4),TARIFA,3)+VLOOKUP((I97/G97*30.4),TARIFA,2)-VLOOKUP((I97/G97*30.4),SUBSIDIO,2))/30.4*G97,2)&lt;0,ROUND(-(((I97/G97*30.4)-VLOOKUP((I97/G97*30.4),TARIFA,1))*VLOOKUP((I97/G97*30.4),TARIFA,3)+VLOOKUP((I97/G97*30.4),TARIFA,2)-VLOOKUP((I97/G97*30.4),SUBSIDIO,2))/30.4*G97,2),0),0)</f>
        <v>16.79</v>
      </c>
      <c r="K97" s="175">
        <f>IF(H97&lt;=207.44,0,(IFERROR(IF(ROUND((((I97/G97*30.4)-VLOOKUP((I97/G97*30.4),TARIFA,1))*VLOOKUP((I97/G97*30.4),TARIFA,3)+VLOOKUP((I97/G97*30.4),TARIFA,2)-VLOOKUP((I97/G97*30.4),SUBSIDIO,2))/30.4*G97,2)&gt;0,ROUND((((I97/G97*30.4)-VLOOKUP((I97/G97*30.4),TARIFA,1))*VLOOKUP((I97/G97*30.4),TARIFA,3)+VLOOKUP((I97/G97*30.4),TARIFA,2)-VLOOKUP((I97/G97*30.4),SUBSIDIO,2))/30.4*G97,2),0),0)))</f>
        <v>0</v>
      </c>
      <c r="L97" s="175">
        <f>K97</f>
        <v>0</v>
      </c>
      <c r="M97" s="108">
        <f>I97+J97-L97</f>
        <v>2516.79</v>
      </c>
      <c r="N97" s="124"/>
    </row>
    <row r="98" spans="2:14" ht="30" customHeight="1" x14ac:dyDescent="0.2">
      <c r="B98" s="120"/>
      <c r="C98" s="245"/>
      <c r="D98" s="74"/>
      <c r="E98" s="67" t="s">
        <v>34</v>
      </c>
      <c r="F98" s="385"/>
      <c r="G98" s="386"/>
      <c r="H98" s="248"/>
      <c r="I98" s="110">
        <f>SUM(I96:I97)</f>
        <v>2500</v>
      </c>
      <c r="J98" s="110">
        <f>SUM(J96:J97)</f>
        <v>16.79</v>
      </c>
      <c r="K98" s="110">
        <f>SUM(K96:K97)</f>
        <v>0</v>
      </c>
      <c r="L98" s="110">
        <f>SUM(L96:L97)</f>
        <v>0</v>
      </c>
      <c r="M98" s="110">
        <f>SUM(M96:M97)</f>
        <v>2516.79</v>
      </c>
      <c r="N98" s="123"/>
    </row>
    <row r="99" spans="2:14" ht="30" customHeight="1" x14ac:dyDescent="0.2">
      <c r="B99" s="399" t="s">
        <v>111</v>
      </c>
      <c r="C99" s="386"/>
      <c r="D99" s="400"/>
      <c r="E99" s="400"/>
      <c r="F99" s="400"/>
      <c r="G99" s="400"/>
      <c r="H99" s="400"/>
      <c r="I99" s="400"/>
      <c r="J99" s="400"/>
      <c r="K99" s="400"/>
      <c r="L99" s="400"/>
      <c r="M99" s="400"/>
      <c r="N99" s="401"/>
    </row>
    <row r="100" spans="2:14" s="5" customFormat="1" ht="30" customHeight="1" x14ac:dyDescent="0.2">
      <c r="B100" s="120">
        <v>50</v>
      </c>
      <c r="C100" s="245"/>
      <c r="D100" s="111" t="s">
        <v>287</v>
      </c>
      <c r="E100" s="104" t="s">
        <v>121</v>
      </c>
      <c r="F100" s="105"/>
      <c r="G100" s="65">
        <v>0</v>
      </c>
      <c r="H100" s="108">
        <v>303</v>
      </c>
      <c r="I100" s="107">
        <f>G100*H100</f>
        <v>0</v>
      </c>
      <c r="J100" s="173">
        <f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0</v>
      </c>
      <c r="K100" s="108">
        <f>IF(H100&lt;=207.44,0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0</v>
      </c>
      <c r="L100" s="108">
        <f>K100</f>
        <v>0</v>
      </c>
      <c r="M100" s="108">
        <f>I100+J100-L100</f>
        <v>0</v>
      </c>
      <c r="N100" s="124"/>
    </row>
    <row r="101" spans="2:14" ht="30" customHeight="1" x14ac:dyDescent="0.2">
      <c r="B101" s="120"/>
      <c r="C101" s="245"/>
      <c r="D101" s="74"/>
      <c r="E101" s="67" t="s">
        <v>34</v>
      </c>
      <c r="F101" s="385"/>
      <c r="G101" s="386"/>
      <c r="H101" s="248"/>
      <c r="I101" s="110">
        <f>SUM(I100:I100)</f>
        <v>0</v>
      </c>
      <c r="J101" s="174">
        <f>SUM(J100:J100)</f>
        <v>0</v>
      </c>
      <c r="K101" s="110">
        <f>SUM(K100:K100)</f>
        <v>0</v>
      </c>
      <c r="L101" s="110">
        <f>SUM(L100:L100)</f>
        <v>0</v>
      </c>
      <c r="M101" s="110">
        <f>SUM(M100:M100)</f>
        <v>0</v>
      </c>
      <c r="N101" s="123"/>
    </row>
    <row r="102" spans="2:14" ht="14.25" customHeight="1" x14ac:dyDescent="0.2">
      <c r="B102" s="402"/>
      <c r="C102" s="403"/>
      <c r="D102" s="403"/>
      <c r="E102" s="403"/>
      <c r="F102" s="403"/>
      <c r="G102" s="403"/>
      <c r="H102" s="403"/>
      <c r="I102" s="403"/>
      <c r="J102" s="403"/>
      <c r="K102" s="403"/>
      <c r="L102" s="403"/>
      <c r="M102" s="403"/>
      <c r="N102" s="404"/>
    </row>
    <row r="103" spans="2:14" ht="20.25" customHeight="1" x14ac:dyDescent="0.2">
      <c r="B103" s="396" t="s">
        <v>17</v>
      </c>
      <c r="C103" s="397"/>
      <c r="D103" s="398"/>
      <c r="E103" s="398"/>
      <c r="F103" s="398"/>
      <c r="G103" s="398"/>
      <c r="H103" s="398"/>
      <c r="I103" s="110">
        <f t="shared" ref="I103:N103" si="5">+I14+I17+I21+I28+I32+I38+I42+I46+I50+I53+I56+I64+I67+I72+I76+I79+I86+I91+I94+I98+I101+I82</f>
        <v>130580.36</v>
      </c>
      <c r="J103" s="110">
        <f t="shared" si="5"/>
        <v>332.31</v>
      </c>
      <c r="K103" s="110">
        <f t="shared" si="5"/>
        <v>5933.0199999999986</v>
      </c>
      <c r="L103" s="110">
        <f t="shared" si="5"/>
        <v>5933.0199999999986</v>
      </c>
      <c r="M103" s="110">
        <f t="shared" si="5"/>
        <v>124979.65000000001</v>
      </c>
      <c r="N103" s="125">
        <f t="shared" si="5"/>
        <v>0</v>
      </c>
    </row>
    <row r="104" spans="2:14" ht="20.100000000000001" customHeight="1" x14ac:dyDescent="0.2">
      <c r="B104" s="128"/>
      <c r="C104" s="126"/>
      <c r="D104" s="126"/>
      <c r="E104" s="126"/>
      <c r="F104" s="126"/>
      <c r="G104" s="126"/>
      <c r="H104" s="126"/>
      <c r="I104" s="127"/>
      <c r="J104" s="127"/>
      <c r="K104" s="127"/>
      <c r="L104" s="127"/>
      <c r="M104" s="127"/>
      <c r="N104" s="129"/>
    </row>
    <row r="105" spans="2:14" ht="20.100000000000001" customHeight="1" x14ac:dyDescent="0.2">
      <c r="B105" s="128"/>
      <c r="C105" s="126"/>
      <c r="D105" s="126"/>
      <c r="E105" s="126"/>
      <c r="F105" s="126"/>
      <c r="G105" s="126"/>
      <c r="H105" s="126"/>
      <c r="I105" s="127"/>
      <c r="J105" s="127"/>
      <c r="K105" s="127"/>
      <c r="L105" s="127"/>
      <c r="M105" s="127"/>
      <c r="N105" s="129"/>
    </row>
    <row r="106" spans="2:14" ht="20.100000000000001" customHeight="1" x14ac:dyDescent="0.2">
      <c r="B106" s="128"/>
      <c r="C106" s="126"/>
      <c r="D106" s="126"/>
      <c r="E106" s="126"/>
      <c r="F106" s="126"/>
      <c r="G106" s="126"/>
      <c r="H106" s="126"/>
      <c r="I106" s="127"/>
      <c r="J106" s="127"/>
      <c r="K106" s="127"/>
      <c r="L106" s="127"/>
      <c r="M106" s="127"/>
      <c r="N106" s="129"/>
    </row>
    <row r="107" spans="2:14" ht="20.100000000000001" customHeight="1" x14ac:dyDescent="0.2">
      <c r="B107" s="128"/>
      <c r="C107" s="126"/>
      <c r="D107" s="126"/>
      <c r="E107" s="126"/>
      <c r="F107" s="126"/>
      <c r="G107" s="126"/>
      <c r="H107" s="126"/>
      <c r="I107" s="127"/>
      <c r="J107" s="127"/>
      <c r="K107" s="127"/>
      <c r="L107" s="127"/>
      <c r="M107" s="127"/>
      <c r="N107" s="129"/>
    </row>
    <row r="108" spans="2:14" ht="13.5" x14ac:dyDescent="0.2">
      <c r="B108" s="100"/>
      <c r="C108" s="5"/>
      <c r="D108" s="99" t="s">
        <v>378</v>
      </c>
      <c r="E108" s="5"/>
      <c r="F108" s="5"/>
      <c r="G108" s="5"/>
      <c r="H108" s="5"/>
      <c r="I108" s="32"/>
      <c r="L108" s="99" t="s">
        <v>359</v>
      </c>
      <c r="M108" s="99"/>
      <c r="N108" s="98"/>
    </row>
    <row r="109" spans="2:14" ht="13.5" thickBot="1" x14ac:dyDescent="0.25">
      <c r="B109" s="101"/>
      <c r="C109" s="102"/>
      <c r="D109" s="394" t="s">
        <v>358</v>
      </c>
      <c r="E109" s="394"/>
      <c r="F109" s="102"/>
      <c r="G109" s="102"/>
      <c r="H109" s="102"/>
      <c r="I109" s="103"/>
      <c r="J109" s="139"/>
      <c r="K109" s="139"/>
      <c r="L109" s="394" t="s">
        <v>360</v>
      </c>
      <c r="M109" s="394"/>
      <c r="N109" s="395"/>
    </row>
    <row r="110" spans="2:14" x14ac:dyDescent="0.2">
      <c r="N110" s="24"/>
    </row>
    <row r="112" spans="2:14" x14ac:dyDescent="0.2">
      <c r="L112" s="25" t="s">
        <v>95</v>
      </c>
      <c r="M112" s="176">
        <f>M10+M31+M34+M36+M45+M48+M55+M61+M78+M85+M89+M96+M62</f>
        <v>36984.699999999997</v>
      </c>
      <c r="N112" s="318"/>
    </row>
    <row r="113" spans="5:13" x14ac:dyDescent="0.2">
      <c r="L113" s="25" t="s">
        <v>96</v>
      </c>
      <c r="M113" s="176">
        <f>M9+M11+M12+M13+M16+M19+M20+M23+M24+M25+M26+M27+M30+M35+M37+M40+M41+M44+M49+M52+M58+M59+M60+M63+M66+M69+M70+M71+M74+M75+M81+M84+M88+M90+M93+M97+M100</f>
        <v>87994.95</v>
      </c>
    </row>
    <row r="114" spans="5:13" x14ac:dyDescent="0.2">
      <c r="E114" s="35" t="s">
        <v>426</v>
      </c>
      <c r="M114" s="176">
        <f>SUM(M112:M113)</f>
        <v>124979.65</v>
      </c>
    </row>
    <row r="116" spans="5:13" x14ac:dyDescent="0.2">
      <c r="L116" s="25" t="s">
        <v>369</v>
      </c>
      <c r="M116" s="177">
        <f>M103-M114</f>
        <v>0</v>
      </c>
    </row>
  </sheetData>
  <mergeCells count="47">
    <mergeCell ref="E2:K2"/>
    <mergeCell ref="E5:K5"/>
    <mergeCell ref="L5:N5"/>
    <mergeCell ref="F14:G14"/>
    <mergeCell ref="D7:J7"/>
    <mergeCell ref="B15:N15"/>
    <mergeCell ref="B18:N18"/>
    <mergeCell ref="B22:N22"/>
    <mergeCell ref="B47:N47"/>
    <mergeCell ref="B33:N33"/>
    <mergeCell ref="B39:N39"/>
    <mergeCell ref="F21:G21"/>
    <mergeCell ref="B29:N29"/>
    <mergeCell ref="F32:G32"/>
    <mergeCell ref="F28:G28"/>
    <mergeCell ref="B43:N43"/>
    <mergeCell ref="F46:G46"/>
    <mergeCell ref="F42:G42"/>
    <mergeCell ref="F38:G38"/>
    <mergeCell ref="D109:E109"/>
    <mergeCell ref="L109:N109"/>
    <mergeCell ref="F101:G101"/>
    <mergeCell ref="F98:G98"/>
    <mergeCell ref="F91:G91"/>
    <mergeCell ref="B103:H103"/>
    <mergeCell ref="B95:N95"/>
    <mergeCell ref="B99:N99"/>
    <mergeCell ref="B92:N92"/>
    <mergeCell ref="B102:N102"/>
    <mergeCell ref="B87:N87"/>
    <mergeCell ref="B73:N73"/>
    <mergeCell ref="F53:G53"/>
    <mergeCell ref="F72:G72"/>
    <mergeCell ref="F64:G64"/>
    <mergeCell ref="F67:G67"/>
    <mergeCell ref="B54:N54"/>
    <mergeCell ref="B65:N65"/>
    <mergeCell ref="F50:G50"/>
    <mergeCell ref="B80:N80"/>
    <mergeCell ref="F82:G82"/>
    <mergeCell ref="B77:N77"/>
    <mergeCell ref="B83:N83"/>
    <mergeCell ref="F79:G79"/>
    <mergeCell ref="F76:G76"/>
    <mergeCell ref="B51:N51"/>
    <mergeCell ref="B68:N68"/>
    <mergeCell ref="B57:N57"/>
  </mergeCells>
  <pageMargins left="0.7" right="0.7" top="0.75" bottom="0.75" header="0.3" footer="0.3"/>
  <pageSetup paperSize="9" scale="78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0"/>
  <sheetViews>
    <sheetView showGridLines="0" topLeftCell="A126" zoomScale="70" zoomScaleNormal="70" workbookViewId="0">
      <selection activeCell="F141" sqref="F141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91" customWidth="1"/>
    <col min="5" max="5" width="20.140625" style="85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40"/>
      <c r="C1" s="242"/>
      <c r="D1" s="141"/>
      <c r="E1" s="142"/>
      <c r="F1" s="143"/>
      <c r="G1" s="143"/>
      <c r="H1" s="143"/>
      <c r="I1" s="143"/>
      <c r="J1" s="143"/>
      <c r="K1" s="319"/>
      <c r="L1" s="143"/>
      <c r="M1" s="143"/>
      <c r="N1" s="144"/>
    </row>
    <row r="2" spans="1:15" ht="24" customHeight="1" x14ac:dyDescent="0.2">
      <c r="B2" s="145"/>
      <c r="C2" s="243"/>
      <c r="D2" s="84"/>
      <c r="E2" s="411" t="s">
        <v>364</v>
      </c>
      <c r="F2" s="411"/>
      <c r="G2" s="411"/>
      <c r="H2" s="411"/>
      <c r="I2" s="411"/>
      <c r="J2" s="411"/>
      <c r="K2" s="411"/>
      <c r="L2" s="146"/>
      <c r="M2" s="146"/>
      <c r="N2" s="147"/>
      <c r="O2" s="49"/>
    </row>
    <row r="3" spans="1:15" ht="14.25" x14ac:dyDescent="0.2">
      <c r="B3" s="145"/>
      <c r="C3" s="243"/>
      <c r="D3" s="84"/>
      <c r="E3" s="148"/>
      <c r="F3" s="146"/>
      <c r="G3" s="146"/>
      <c r="H3" s="146"/>
      <c r="I3" s="146"/>
      <c r="J3" s="146"/>
      <c r="K3" s="146"/>
      <c r="L3" s="146"/>
      <c r="M3" s="146"/>
      <c r="N3" s="147"/>
      <c r="O3" s="49"/>
    </row>
    <row r="4" spans="1:15" ht="14.25" x14ac:dyDescent="0.2">
      <c r="B4" s="145"/>
      <c r="C4" s="243"/>
      <c r="D4" s="84"/>
      <c r="E4" s="148"/>
      <c r="F4" s="146"/>
      <c r="G4" s="146"/>
      <c r="H4" s="146"/>
      <c r="I4" s="146"/>
      <c r="J4" s="146"/>
      <c r="K4" s="146"/>
      <c r="L4" s="146"/>
      <c r="M4" s="146"/>
      <c r="N4" s="147"/>
      <c r="O4" s="49"/>
    </row>
    <row r="5" spans="1:15" ht="20.25" x14ac:dyDescent="0.2">
      <c r="B5" s="149"/>
      <c r="C5" s="39"/>
      <c r="D5" s="84"/>
      <c r="E5" s="411" t="s">
        <v>368</v>
      </c>
      <c r="F5" s="411"/>
      <c r="G5" s="411"/>
      <c r="H5" s="411"/>
      <c r="I5" s="411"/>
      <c r="J5" s="411"/>
      <c r="K5" s="411"/>
      <c r="L5" s="413"/>
      <c r="M5" s="413"/>
      <c r="N5" s="414"/>
      <c r="O5" s="49"/>
    </row>
    <row r="6" spans="1:15" ht="36.75" customHeight="1" thickBot="1" x14ac:dyDescent="0.25">
      <c r="B6" s="150"/>
      <c r="C6" s="48"/>
      <c r="D6" s="429" t="s">
        <v>496</v>
      </c>
      <c r="E6" s="429"/>
      <c r="F6" s="429"/>
      <c r="G6" s="429"/>
      <c r="H6" s="429"/>
      <c r="I6" s="429"/>
      <c r="J6" s="429"/>
      <c r="K6" s="151"/>
      <c r="L6" s="151"/>
      <c r="M6" s="151"/>
      <c r="N6" s="152"/>
      <c r="O6" s="49"/>
    </row>
    <row r="7" spans="1:15" ht="30" customHeight="1" x14ac:dyDescent="0.2">
      <c r="B7" s="114" t="s">
        <v>357</v>
      </c>
      <c r="C7" s="244" t="s">
        <v>430</v>
      </c>
      <c r="D7" s="115" t="s">
        <v>14</v>
      </c>
      <c r="E7" s="115" t="s">
        <v>351</v>
      </c>
      <c r="F7" s="115" t="s">
        <v>352</v>
      </c>
      <c r="G7" s="115" t="s">
        <v>355</v>
      </c>
      <c r="H7" s="115" t="s">
        <v>356</v>
      </c>
      <c r="I7" s="116" t="s">
        <v>353</v>
      </c>
      <c r="J7" s="115" t="s">
        <v>375</v>
      </c>
      <c r="K7" s="115" t="s">
        <v>376</v>
      </c>
      <c r="L7" s="117" t="s">
        <v>354</v>
      </c>
      <c r="M7" s="117" t="s">
        <v>363</v>
      </c>
      <c r="N7" s="133" t="s">
        <v>362</v>
      </c>
      <c r="O7" s="49"/>
    </row>
    <row r="8" spans="1:15" s="87" customFormat="1" ht="30" customHeight="1" x14ac:dyDescent="0.2">
      <c r="A8" s="5" t="s">
        <v>29</v>
      </c>
      <c r="B8" s="239">
        <v>1</v>
      </c>
      <c r="C8" s="250" t="s">
        <v>430</v>
      </c>
      <c r="D8" s="240" t="s">
        <v>140</v>
      </c>
      <c r="E8" s="240" t="s">
        <v>84</v>
      </c>
      <c r="F8" s="241"/>
      <c r="G8" s="241">
        <v>0</v>
      </c>
      <c r="H8" s="233">
        <v>400</v>
      </c>
      <c r="I8" s="130">
        <f t="shared" ref="I8:I15" si="0">ROUND(G8*H8,2)</f>
        <v>0</v>
      </c>
      <c r="J8" s="182">
        <f t="shared" ref="J8:J15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30">
        <f t="shared" ref="K8:K15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0</v>
      </c>
      <c r="L8" s="130">
        <f t="shared" ref="L8:L14" si="3">K8</f>
        <v>0</v>
      </c>
      <c r="M8" s="130">
        <f>I8+J8-L8</f>
        <v>0</v>
      </c>
      <c r="N8" s="134"/>
      <c r="O8" s="94"/>
    </row>
    <row r="9" spans="1:15" s="27" customFormat="1" ht="30" customHeight="1" x14ac:dyDescent="0.2">
      <c r="A9" s="28"/>
      <c r="B9" s="239">
        <v>2</v>
      </c>
      <c r="C9" s="250" t="s">
        <v>430</v>
      </c>
      <c r="D9" s="240" t="s">
        <v>222</v>
      </c>
      <c r="E9" s="240" t="s">
        <v>90</v>
      </c>
      <c r="F9" s="78"/>
      <c r="G9" s="241">
        <v>15</v>
      </c>
      <c r="H9" s="233">
        <v>271.2</v>
      </c>
      <c r="I9" s="130">
        <f t="shared" si="0"/>
        <v>4068</v>
      </c>
      <c r="J9" s="182">
        <f t="shared" si="1"/>
        <v>0</v>
      </c>
      <c r="K9" s="130">
        <f t="shared" si="2"/>
        <v>286.14</v>
      </c>
      <c r="L9" s="130">
        <f t="shared" si="3"/>
        <v>286.14</v>
      </c>
      <c r="M9" s="130">
        <f t="shared" ref="M9:M15" si="4">I9+J9-L9</f>
        <v>3781.86</v>
      </c>
      <c r="N9" s="134"/>
      <c r="O9" s="94"/>
    </row>
    <row r="10" spans="1:15" s="27" customFormat="1" ht="30" customHeight="1" x14ac:dyDescent="0.2">
      <c r="A10" s="28"/>
      <c r="B10" s="239">
        <v>3</v>
      </c>
      <c r="C10" s="250" t="s">
        <v>430</v>
      </c>
      <c r="D10" s="240" t="s">
        <v>223</v>
      </c>
      <c r="E10" s="240" t="s">
        <v>55</v>
      </c>
      <c r="F10" s="78"/>
      <c r="G10" s="241">
        <v>15</v>
      </c>
      <c r="H10" s="233">
        <v>127.834</v>
      </c>
      <c r="I10" s="130">
        <f t="shared" si="0"/>
        <v>1917.51</v>
      </c>
      <c r="J10" s="130">
        <f t="shared" si="1"/>
        <v>82.49</v>
      </c>
      <c r="K10" s="182">
        <f t="shared" si="2"/>
        <v>0</v>
      </c>
      <c r="L10" s="182">
        <f t="shared" si="3"/>
        <v>0</v>
      </c>
      <c r="M10" s="130">
        <f t="shared" si="4"/>
        <v>2000</v>
      </c>
      <c r="N10" s="134"/>
      <c r="O10" s="94"/>
    </row>
    <row r="11" spans="1:15" s="87" customFormat="1" ht="30" customHeight="1" x14ac:dyDescent="0.2">
      <c r="A11" s="5"/>
      <c r="B11" s="239">
        <v>4</v>
      </c>
      <c r="C11" s="250" t="s">
        <v>430</v>
      </c>
      <c r="D11" s="240" t="s">
        <v>176</v>
      </c>
      <c r="E11" s="240" t="s">
        <v>42</v>
      </c>
      <c r="F11" s="78"/>
      <c r="G11" s="241">
        <v>15</v>
      </c>
      <c r="H11" s="233">
        <v>189.53319999999999</v>
      </c>
      <c r="I11" s="130">
        <f t="shared" si="0"/>
        <v>2843</v>
      </c>
      <c r="J11" s="182">
        <f t="shared" si="1"/>
        <v>0</v>
      </c>
      <c r="K11" s="182">
        <f t="shared" si="2"/>
        <v>0</v>
      </c>
      <c r="L11" s="182">
        <f t="shared" si="3"/>
        <v>0</v>
      </c>
      <c r="M11" s="130">
        <f t="shared" si="4"/>
        <v>2843</v>
      </c>
      <c r="N11" s="134"/>
      <c r="O11" s="94"/>
    </row>
    <row r="12" spans="1:15" s="87" customFormat="1" ht="30" customHeight="1" x14ac:dyDescent="0.2">
      <c r="A12" s="5"/>
      <c r="B12" s="239">
        <v>5</v>
      </c>
      <c r="C12" s="250" t="s">
        <v>430</v>
      </c>
      <c r="D12" s="240" t="s">
        <v>432</v>
      </c>
      <c r="E12" s="240" t="s">
        <v>433</v>
      </c>
      <c r="F12" s="78"/>
      <c r="G12" s="241">
        <v>15</v>
      </c>
      <c r="H12" s="233">
        <v>127.834</v>
      </c>
      <c r="I12" s="130">
        <f>ROUND(G12*H12,2)</f>
        <v>1917.51</v>
      </c>
      <c r="J12" s="182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82.49</v>
      </c>
      <c r="K12" s="182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182">
        <f>K12</f>
        <v>0</v>
      </c>
      <c r="M12" s="130">
        <f>I12+J12-L12</f>
        <v>2000</v>
      </c>
      <c r="N12" s="134"/>
      <c r="O12" s="94"/>
    </row>
    <row r="13" spans="1:15" s="87" customFormat="1" ht="30" customHeight="1" x14ac:dyDescent="0.2">
      <c r="A13" s="5"/>
      <c r="B13" s="239">
        <v>6</v>
      </c>
      <c r="C13" s="250" t="s">
        <v>430</v>
      </c>
      <c r="D13" s="240" t="s">
        <v>224</v>
      </c>
      <c r="E13" s="240" t="s">
        <v>43</v>
      </c>
      <c r="F13" s="78"/>
      <c r="G13" s="241">
        <v>15</v>
      </c>
      <c r="H13" s="233">
        <v>186.66659999999999</v>
      </c>
      <c r="I13" s="130">
        <f t="shared" si="0"/>
        <v>2800</v>
      </c>
      <c r="J13" s="182">
        <f t="shared" si="1"/>
        <v>0</v>
      </c>
      <c r="K13" s="182">
        <f t="shared" si="2"/>
        <v>0</v>
      </c>
      <c r="L13" s="182">
        <f t="shared" si="3"/>
        <v>0</v>
      </c>
      <c r="M13" s="130">
        <f t="shared" si="4"/>
        <v>2800</v>
      </c>
      <c r="N13" s="134"/>
      <c r="O13" s="94"/>
    </row>
    <row r="14" spans="1:15" s="87" customFormat="1" ht="30" customHeight="1" x14ac:dyDescent="0.2">
      <c r="A14" s="5"/>
      <c r="B14" s="239">
        <v>7</v>
      </c>
      <c r="C14" s="250" t="s">
        <v>430</v>
      </c>
      <c r="D14" s="240" t="s">
        <v>331</v>
      </c>
      <c r="E14" s="240" t="s">
        <v>43</v>
      </c>
      <c r="F14" s="78"/>
      <c r="G14" s="241">
        <v>15</v>
      </c>
      <c r="H14" s="233">
        <v>185.6</v>
      </c>
      <c r="I14" s="130">
        <f t="shared" si="0"/>
        <v>2784</v>
      </c>
      <c r="J14" s="182">
        <f t="shared" si="1"/>
        <v>0</v>
      </c>
      <c r="K14" s="182">
        <f t="shared" si="2"/>
        <v>0</v>
      </c>
      <c r="L14" s="182">
        <f t="shared" si="3"/>
        <v>0</v>
      </c>
      <c r="M14" s="130">
        <f t="shared" si="4"/>
        <v>2784</v>
      </c>
      <c r="N14" s="134"/>
      <c r="O14" s="94"/>
    </row>
    <row r="15" spans="1:15" s="27" customFormat="1" ht="41.1" customHeight="1" x14ac:dyDescent="0.2">
      <c r="A15" s="28"/>
      <c r="B15" s="239">
        <v>8</v>
      </c>
      <c r="C15" s="250"/>
      <c r="D15" s="240" t="s">
        <v>226</v>
      </c>
      <c r="E15" s="251" t="s">
        <v>339</v>
      </c>
      <c r="F15" s="78"/>
      <c r="G15" s="241">
        <v>15</v>
      </c>
      <c r="H15" s="233">
        <v>303</v>
      </c>
      <c r="I15" s="130">
        <f t="shared" si="0"/>
        <v>4545</v>
      </c>
      <c r="J15" s="182">
        <f t="shared" si="1"/>
        <v>0</v>
      </c>
      <c r="K15" s="130">
        <f t="shared" si="2"/>
        <v>338.03</v>
      </c>
      <c r="L15" s="130">
        <f>K15</f>
        <v>338.03</v>
      </c>
      <c r="M15" s="130">
        <f t="shared" si="4"/>
        <v>4206.97</v>
      </c>
      <c r="N15" s="134"/>
      <c r="O15" s="94"/>
    </row>
    <row r="16" spans="1:15" s="27" customFormat="1" ht="30" customHeight="1" x14ac:dyDescent="0.2">
      <c r="A16" s="28"/>
      <c r="B16" s="239"/>
      <c r="C16" s="250"/>
      <c r="D16" s="240"/>
      <c r="E16" s="252" t="s">
        <v>34</v>
      </c>
      <c r="F16" s="424"/>
      <c r="G16" s="426"/>
      <c r="H16" s="425"/>
      <c r="I16" s="131">
        <f>SUM(I8:I15)</f>
        <v>20875.02</v>
      </c>
      <c r="J16" s="131">
        <f t="shared" ref="J16:N16" si="5">SUM(J8:J15)</f>
        <v>164.98</v>
      </c>
      <c r="K16" s="131">
        <f t="shared" si="5"/>
        <v>624.16999999999996</v>
      </c>
      <c r="L16" s="131">
        <f t="shared" si="5"/>
        <v>624.16999999999996</v>
      </c>
      <c r="M16" s="131">
        <f>SUM(M8:M15)</f>
        <v>20415.830000000002</v>
      </c>
      <c r="N16" s="135">
        <f t="shared" si="5"/>
        <v>0</v>
      </c>
      <c r="O16" s="94"/>
    </row>
    <row r="17" spans="1:15" ht="30" customHeight="1" x14ac:dyDescent="0.2">
      <c r="B17" s="416" t="s">
        <v>93</v>
      </c>
      <c r="C17" s="417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9"/>
      <c r="O17" s="49"/>
    </row>
    <row r="18" spans="1:15" ht="30" customHeight="1" x14ac:dyDescent="0.2">
      <c r="B18" s="239">
        <v>9</v>
      </c>
      <c r="C18" s="250"/>
      <c r="D18" s="240" t="s">
        <v>225</v>
      </c>
      <c r="E18" s="240" t="s">
        <v>94</v>
      </c>
      <c r="F18" s="78"/>
      <c r="G18" s="241">
        <v>0</v>
      </c>
      <c r="H18" s="253">
        <v>551.4</v>
      </c>
      <c r="I18" s="130">
        <f>ROUND(G18*H18,2)</f>
        <v>0</v>
      </c>
      <c r="J18" s="182">
        <f>IFERROR(IF(ROUND((((I18/G18*30.4)-VLOOKUP((I18/G18*30.4),TARIFA,1))*VLOOKUP((I18/G18*30.4),TARIFA,3)+VLOOKUP((I18/G18*30.4),TARIFA,2)-VLOOKUP((I18/G18*30.4),SUBSIDIO,2))/30.4*G18,2)&lt;0,ROUND(-(((I18/G18*30.4)-VLOOKUP((I18/G18*30.4),TARIFA,1))*VLOOKUP((I18/G18*30.4),TARIFA,3)+VLOOKUP((I18/G18*30.4),TARIFA,2)-VLOOKUP((I18/G18*30.4),SUBSIDIO,2))/30.4*G18,2),0),0)</f>
        <v>0</v>
      </c>
      <c r="K18" s="130">
        <f>IF(H18&lt;=207.44,0,(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))</f>
        <v>0</v>
      </c>
      <c r="L18" s="130">
        <f>K18</f>
        <v>0</v>
      </c>
      <c r="M18" s="130">
        <f>I18+J18-L18</f>
        <v>0</v>
      </c>
      <c r="N18" s="136"/>
      <c r="O18" s="49"/>
    </row>
    <row r="19" spans="1:15" ht="30" customHeight="1" x14ac:dyDescent="0.2">
      <c r="B19" s="239"/>
      <c r="C19" s="250"/>
      <c r="D19" s="240"/>
      <c r="E19" s="252" t="s">
        <v>34</v>
      </c>
      <c r="F19" s="424"/>
      <c r="G19" s="426"/>
      <c r="H19" s="425"/>
      <c r="I19" s="131">
        <f t="shared" ref="I19:N19" si="6">+I18</f>
        <v>0</v>
      </c>
      <c r="J19" s="183">
        <f t="shared" si="6"/>
        <v>0</v>
      </c>
      <c r="K19" s="131">
        <f t="shared" si="6"/>
        <v>0</v>
      </c>
      <c r="L19" s="131">
        <f t="shared" si="6"/>
        <v>0</v>
      </c>
      <c r="M19" s="131">
        <f t="shared" si="6"/>
        <v>0</v>
      </c>
      <c r="N19" s="135">
        <f t="shared" si="6"/>
        <v>0</v>
      </c>
      <c r="O19" s="49"/>
    </row>
    <row r="20" spans="1:15" s="27" customFormat="1" ht="30" customHeight="1" x14ac:dyDescent="0.2">
      <c r="A20" s="28"/>
      <c r="B20" s="416" t="s">
        <v>35</v>
      </c>
      <c r="C20" s="417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9"/>
      <c r="O20" s="94"/>
    </row>
    <row r="21" spans="1:15" s="27" customFormat="1" ht="30" customHeight="1" x14ac:dyDescent="0.2">
      <c r="A21" s="28"/>
      <c r="B21" s="239">
        <v>10</v>
      </c>
      <c r="C21" s="250"/>
      <c r="D21" s="240" t="s">
        <v>227</v>
      </c>
      <c r="E21" s="240" t="s">
        <v>131</v>
      </c>
      <c r="F21" s="78"/>
      <c r="G21" s="241">
        <v>15</v>
      </c>
      <c r="H21" s="253">
        <v>271.06659999999999</v>
      </c>
      <c r="I21" s="130">
        <f>ROUND(G21*H21,2)</f>
        <v>4066</v>
      </c>
      <c r="J21" s="182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130">
        <f>IF(H21&lt;=207.44,0,(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))</f>
        <v>285.92</v>
      </c>
      <c r="L21" s="130">
        <f>K21</f>
        <v>285.92</v>
      </c>
      <c r="M21" s="130">
        <f>I21+J21-L21</f>
        <v>3780.08</v>
      </c>
      <c r="N21" s="134"/>
      <c r="O21" s="94"/>
    </row>
    <row r="22" spans="1:15" s="30" customFormat="1" ht="30" customHeight="1" x14ac:dyDescent="0.2">
      <c r="A22" s="26"/>
      <c r="B22" s="239">
        <v>11</v>
      </c>
      <c r="C22" s="250"/>
      <c r="D22" s="240" t="s">
        <v>228</v>
      </c>
      <c r="E22" s="240" t="s">
        <v>132</v>
      </c>
      <c r="F22" s="78"/>
      <c r="G22" s="241">
        <v>15</v>
      </c>
      <c r="H22" s="253">
        <v>271.06659999999999</v>
      </c>
      <c r="I22" s="130">
        <f>ROUND(G22*H22,2)</f>
        <v>4066</v>
      </c>
      <c r="J22" s="182">
        <f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130">
        <f>IF(H22&lt;=207.44,0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285.92</v>
      </c>
      <c r="L22" s="130">
        <f>K22</f>
        <v>285.92</v>
      </c>
      <c r="M22" s="130">
        <f>I22+J22-L22</f>
        <v>3780.08</v>
      </c>
      <c r="N22" s="134"/>
      <c r="O22" s="95"/>
    </row>
    <row r="23" spans="1:15" s="30" customFormat="1" ht="30" customHeight="1" x14ac:dyDescent="0.2">
      <c r="A23" s="26"/>
      <c r="B23" s="239">
        <v>12</v>
      </c>
      <c r="C23" s="250"/>
      <c r="D23" s="240" t="s">
        <v>340</v>
      </c>
      <c r="E23" s="240" t="s">
        <v>168</v>
      </c>
      <c r="F23" s="79"/>
      <c r="G23" s="241">
        <v>0</v>
      </c>
      <c r="H23" s="253">
        <v>303</v>
      </c>
      <c r="I23" s="130">
        <f>ROUND(G23*H23,2)</f>
        <v>0</v>
      </c>
      <c r="J23" s="182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30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0</v>
      </c>
      <c r="L23" s="130">
        <f>K23</f>
        <v>0</v>
      </c>
      <c r="M23" s="130">
        <f>I23+J23-L23</f>
        <v>0</v>
      </c>
      <c r="N23" s="134"/>
      <c r="O23" s="95"/>
    </row>
    <row r="24" spans="1:15" s="30" customFormat="1" ht="30" customHeight="1" x14ac:dyDescent="0.2">
      <c r="A24" s="26"/>
      <c r="B24" s="239">
        <v>13</v>
      </c>
      <c r="C24" s="250" t="s">
        <v>430</v>
      </c>
      <c r="D24" s="240" t="s">
        <v>442</v>
      </c>
      <c r="E24" s="240" t="s">
        <v>43</v>
      </c>
      <c r="F24" s="79"/>
      <c r="G24" s="241">
        <v>15</v>
      </c>
      <c r="H24" s="253">
        <v>271.06659999999999</v>
      </c>
      <c r="I24" s="130">
        <f>ROUND(G24*H24,2)</f>
        <v>4066</v>
      </c>
      <c r="J24" s="182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30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285.92</v>
      </c>
      <c r="L24" s="130">
        <f>K24</f>
        <v>285.92</v>
      </c>
      <c r="M24" s="130">
        <f>I24+J24-L24</f>
        <v>3780.08</v>
      </c>
      <c r="N24" s="134"/>
      <c r="O24" s="95"/>
    </row>
    <row r="25" spans="1:15" s="27" customFormat="1" ht="30" customHeight="1" x14ac:dyDescent="0.2">
      <c r="A25" s="28"/>
      <c r="B25" s="254"/>
      <c r="C25" s="255"/>
      <c r="D25" s="256"/>
      <c r="E25" s="252" t="s">
        <v>34</v>
      </c>
      <c r="F25" s="424"/>
      <c r="G25" s="426"/>
      <c r="H25" s="425"/>
      <c r="I25" s="131">
        <f>SUM(I21:I24)</f>
        <v>12198</v>
      </c>
      <c r="J25" s="183">
        <f>SUM(J21:J24)</f>
        <v>0</v>
      </c>
      <c r="K25" s="131">
        <f>SUM(K21:K24)</f>
        <v>857.76</v>
      </c>
      <c r="L25" s="131">
        <f>SUM(L21:L24)</f>
        <v>857.76</v>
      </c>
      <c r="M25" s="131">
        <f>SUM(M21:M24)</f>
        <v>11340.24</v>
      </c>
      <c r="N25" s="135">
        <f>SUM(N21:N23)</f>
        <v>0</v>
      </c>
      <c r="O25" s="94"/>
    </row>
    <row r="26" spans="1:15" ht="30" customHeight="1" x14ac:dyDescent="0.2">
      <c r="B26" s="416" t="s">
        <v>37</v>
      </c>
      <c r="C26" s="417"/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9"/>
      <c r="O26" s="49"/>
    </row>
    <row r="27" spans="1:15" ht="30" customHeight="1" x14ac:dyDescent="0.2">
      <c r="B27" s="239">
        <v>14</v>
      </c>
      <c r="C27" s="250"/>
      <c r="D27" s="240" t="s">
        <v>229</v>
      </c>
      <c r="E27" s="240" t="s">
        <v>62</v>
      </c>
      <c r="F27" s="78"/>
      <c r="G27" s="241">
        <v>15</v>
      </c>
      <c r="H27" s="233">
        <v>284.33300000000003</v>
      </c>
      <c r="I27" s="130">
        <f t="shared" ref="I27:I32" si="7">ROUND(G27*H27,2)</f>
        <v>4265</v>
      </c>
      <c r="J27" s="182">
        <f t="shared" ref="J27:J32" si="8"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30">
        <f t="shared" ref="K27:K32" si="9"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307.57</v>
      </c>
      <c r="L27" s="130">
        <f t="shared" ref="L27:L32" si="10">K27</f>
        <v>307.57</v>
      </c>
      <c r="M27" s="130">
        <f t="shared" ref="M27:M32" si="11">I27+J27-L27</f>
        <v>3957.43</v>
      </c>
      <c r="N27" s="134"/>
      <c r="O27" s="49"/>
    </row>
    <row r="28" spans="1:15" ht="30" customHeight="1" x14ac:dyDescent="0.2">
      <c r="B28" s="239">
        <v>15</v>
      </c>
      <c r="C28" s="250"/>
      <c r="D28" s="240" t="s">
        <v>230</v>
      </c>
      <c r="E28" s="240" t="s">
        <v>109</v>
      </c>
      <c r="F28" s="78"/>
      <c r="G28" s="241">
        <v>15</v>
      </c>
      <c r="H28" s="233">
        <v>189.6</v>
      </c>
      <c r="I28" s="130">
        <f t="shared" si="7"/>
        <v>2844</v>
      </c>
      <c r="J28" s="182">
        <f t="shared" si="8"/>
        <v>0</v>
      </c>
      <c r="K28" s="182">
        <f t="shared" si="9"/>
        <v>0</v>
      </c>
      <c r="L28" s="182">
        <f t="shared" si="10"/>
        <v>0</v>
      </c>
      <c r="M28" s="130">
        <f t="shared" si="11"/>
        <v>2844</v>
      </c>
      <c r="N28" s="134"/>
      <c r="O28" s="49"/>
    </row>
    <row r="29" spans="1:15" s="88" customFormat="1" ht="30" customHeight="1" x14ac:dyDescent="0.2">
      <c r="A29" s="28"/>
      <c r="B29" s="239">
        <v>16</v>
      </c>
      <c r="C29" s="250" t="s">
        <v>430</v>
      </c>
      <c r="D29" s="240" t="s">
        <v>231</v>
      </c>
      <c r="E29" s="240" t="s">
        <v>55</v>
      </c>
      <c r="F29" s="241"/>
      <c r="G29" s="241">
        <v>15</v>
      </c>
      <c r="H29" s="233">
        <v>100</v>
      </c>
      <c r="I29" s="130">
        <f t="shared" si="7"/>
        <v>1500</v>
      </c>
      <c r="J29" s="130">
        <f t="shared" si="8"/>
        <v>121.13</v>
      </c>
      <c r="K29" s="182">
        <f t="shared" si="9"/>
        <v>0</v>
      </c>
      <c r="L29" s="182">
        <f t="shared" si="10"/>
        <v>0</v>
      </c>
      <c r="M29" s="130">
        <f t="shared" si="11"/>
        <v>1621.13</v>
      </c>
      <c r="N29" s="134"/>
      <c r="O29" s="49"/>
    </row>
    <row r="30" spans="1:15" ht="30" customHeight="1" x14ac:dyDescent="0.2">
      <c r="B30" s="239">
        <v>17</v>
      </c>
      <c r="C30" s="250"/>
      <c r="D30" s="240" t="s">
        <v>232</v>
      </c>
      <c r="E30" s="240" t="s">
        <v>43</v>
      </c>
      <c r="F30" s="78"/>
      <c r="G30" s="241">
        <v>15</v>
      </c>
      <c r="H30" s="233">
        <v>100</v>
      </c>
      <c r="I30" s="130">
        <f t="shared" si="7"/>
        <v>1500</v>
      </c>
      <c r="J30" s="130">
        <f t="shared" si="8"/>
        <v>121.13</v>
      </c>
      <c r="K30" s="182">
        <f t="shared" si="9"/>
        <v>0</v>
      </c>
      <c r="L30" s="182">
        <f t="shared" si="10"/>
        <v>0</v>
      </c>
      <c r="M30" s="130">
        <f t="shared" si="11"/>
        <v>1621.13</v>
      </c>
      <c r="N30" s="134"/>
      <c r="O30" s="49"/>
    </row>
    <row r="31" spans="1:15" s="88" customFormat="1" ht="30" customHeight="1" x14ac:dyDescent="0.2">
      <c r="A31" s="28"/>
      <c r="B31" s="239">
        <v>18</v>
      </c>
      <c r="C31" s="250" t="s">
        <v>430</v>
      </c>
      <c r="D31" s="240" t="s">
        <v>336</v>
      </c>
      <c r="E31" s="240" t="s">
        <v>337</v>
      </c>
      <c r="F31" s="257"/>
      <c r="G31" s="241">
        <v>15</v>
      </c>
      <c r="H31" s="233">
        <v>448.4</v>
      </c>
      <c r="I31" s="130">
        <f t="shared" si="7"/>
        <v>6726</v>
      </c>
      <c r="J31" s="182">
        <f t="shared" si="8"/>
        <v>0</v>
      </c>
      <c r="K31" s="130">
        <f t="shared" si="9"/>
        <v>645.16</v>
      </c>
      <c r="L31" s="130">
        <f t="shared" si="10"/>
        <v>645.16</v>
      </c>
      <c r="M31" s="130">
        <f>I31+J31-L31</f>
        <v>6080.84</v>
      </c>
      <c r="N31" s="134"/>
      <c r="O31" s="49"/>
    </row>
    <row r="32" spans="1:15" s="88" customFormat="1" ht="30" customHeight="1" x14ac:dyDescent="0.2">
      <c r="A32" s="28"/>
      <c r="B32" s="239">
        <v>19</v>
      </c>
      <c r="C32" s="250"/>
      <c r="D32" s="240" t="s">
        <v>425</v>
      </c>
      <c r="E32" s="240" t="s">
        <v>43</v>
      </c>
      <c r="F32" s="257"/>
      <c r="G32" s="241">
        <v>15</v>
      </c>
      <c r="H32" s="233">
        <v>86.67</v>
      </c>
      <c r="I32" s="130">
        <f t="shared" si="7"/>
        <v>1300.05</v>
      </c>
      <c r="J32" s="182">
        <f t="shared" si="8"/>
        <v>134.03</v>
      </c>
      <c r="K32" s="130">
        <f t="shared" si="9"/>
        <v>0</v>
      </c>
      <c r="L32" s="130">
        <f t="shared" si="10"/>
        <v>0</v>
      </c>
      <c r="M32" s="130">
        <f t="shared" si="11"/>
        <v>1434.08</v>
      </c>
      <c r="N32" s="134"/>
      <c r="O32" s="49"/>
    </row>
    <row r="33" spans="1:15" ht="30" customHeight="1" x14ac:dyDescent="0.2">
      <c r="B33" s="239"/>
      <c r="C33" s="250"/>
      <c r="D33" s="240"/>
      <c r="E33" s="252" t="s">
        <v>34</v>
      </c>
      <c r="F33" s="424"/>
      <c r="G33" s="426"/>
      <c r="H33" s="425"/>
      <c r="I33" s="131">
        <f t="shared" ref="I33:N33" si="12">SUM(I27:I32)</f>
        <v>18135.05</v>
      </c>
      <c r="J33" s="131">
        <f t="shared" si="12"/>
        <v>376.28999999999996</v>
      </c>
      <c r="K33" s="131">
        <f t="shared" si="12"/>
        <v>952.73</v>
      </c>
      <c r="L33" s="131">
        <f t="shared" si="12"/>
        <v>952.73</v>
      </c>
      <c r="M33" s="131">
        <f t="shared" si="12"/>
        <v>17558.61</v>
      </c>
      <c r="N33" s="135">
        <f t="shared" si="12"/>
        <v>0</v>
      </c>
      <c r="O33" s="49"/>
    </row>
    <row r="34" spans="1:15" ht="30" customHeight="1" x14ac:dyDescent="0.2">
      <c r="B34" s="416" t="s">
        <v>40</v>
      </c>
      <c r="C34" s="417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9"/>
      <c r="O34" s="49"/>
    </row>
    <row r="35" spans="1:15" ht="30" customHeight="1" x14ac:dyDescent="0.2">
      <c r="B35" s="239">
        <v>20</v>
      </c>
      <c r="C35" s="250"/>
      <c r="D35" s="240" t="s">
        <v>233</v>
      </c>
      <c r="E35" s="240" t="s">
        <v>43</v>
      </c>
      <c r="F35" s="241"/>
      <c r="G35" s="241">
        <v>15</v>
      </c>
      <c r="H35" s="233">
        <v>100</v>
      </c>
      <c r="I35" s="130">
        <f>ROUND(G35*H35,2)</f>
        <v>1500</v>
      </c>
      <c r="J35" s="130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121.13</v>
      </c>
      <c r="K35" s="182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82">
        <f>K35</f>
        <v>0</v>
      </c>
      <c r="M35" s="130">
        <f>I35+J35-L35</f>
        <v>1621.13</v>
      </c>
      <c r="N35" s="134"/>
      <c r="O35" s="49"/>
    </row>
    <row r="36" spans="1:15" s="88" customFormat="1" ht="30" customHeight="1" x14ac:dyDescent="0.2">
      <c r="A36" s="28"/>
      <c r="B36" s="239">
        <v>21</v>
      </c>
      <c r="C36" s="250" t="s">
        <v>430</v>
      </c>
      <c r="D36" s="240" t="s">
        <v>234</v>
      </c>
      <c r="E36" s="240" t="s">
        <v>43</v>
      </c>
      <c r="F36" s="78"/>
      <c r="G36" s="241">
        <v>15</v>
      </c>
      <c r="H36" s="233">
        <v>120</v>
      </c>
      <c r="I36" s="130">
        <f>ROUND(G36*H36,2)</f>
        <v>1800</v>
      </c>
      <c r="J36" s="13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90.01</v>
      </c>
      <c r="K36" s="182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182">
        <f>K36</f>
        <v>0</v>
      </c>
      <c r="M36" s="130">
        <f>I36+J36-L36</f>
        <v>1890.01</v>
      </c>
      <c r="N36" s="134"/>
      <c r="O36" s="49"/>
    </row>
    <row r="37" spans="1:15" ht="30" customHeight="1" x14ac:dyDescent="0.2">
      <c r="B37" s="239">
        <v>22</v>
      </c>
      <c r="C37" s="250"/>
      <c r="D37" s="240" t="s">
        <v>235</v>
      </c>
      <c r="E37" s="240" t="s">
        <v>55</v>
      </c>
      <c r="F37" s="78"/>
      <c r="G37" s="241">
        <v>15</v>
      </c>
      <c r="H37" s="233">
        <v>145.64099999999999</v>
      </c>
      <c r="I37" s="130">
        <f>ROUND(G37*H37,2)</f>
        <v>2184.62</v>
      </c>
      <c r="J37" s="130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65.39</v>
      </c>
      <c r="K37" s="182">
        <f>IF(H37&lt;=207.44,0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82">
        <f>K37</f>
        <v>0</v>
      </c>
      <c r="M37" s="130">
        <f>I37+J37-L37</f>
        <v>2250.0099999999998</v>
      </c>
      <c r="N37" s="134"/>
      <c r="O37" s="49"/>
    </row>
    <row r="38" spans="1:15" s="88" customFormat="1" ht="30" customHeight="1" x14ac:dyDescent="0.2">
      <c r="A38" s="28"/>
      <c r="B38" s="239">
        <v>23</v>
      </c>
      <c r="C38" s="250"/>
      <c r="D38" s="240" t="s">
        <v>345</v>
      </c>
      <c r="E38" s="240" t="s">
        <v>346</v>
      </c>
      <c r="F38" s="241"/>
      <c r="G38" s="241">
        <v>15</v>
      </c>
      <c r="H38" s="233">
        <v>149.6</v>
      </c>
      <c r="I38" s="130">
        <f>ROUND(G38*H38,2)</f>
        <v>2244</v>
      </c>
      <c r="J38" s="130">
        <f>IFERROR(IF(ROUND((((I38/G38*30.4)-VLOOKUP((I38/G38*30.4),TARIFA,1))*VLOOKUP((I38/G38*30.4),TARIFA,3)+VLOOKUP((I38/G38*30.4),TARIFA,2)-VLOOKUP((I38/G38*30.4),SUBSIDIO,2))/30.4*G38,2)&lt;0,ROUND(-(((I38/G38*30.4)-VLOOKUP((I38/G38*30.4),TARIFA,1))*VLOOKUP((I38/G38*30.4),TARIFA,3)+VLOOKUP((I38/G38*30.4),TARIFA,2)-VLOOKUP((I38/G38*30.4),SUBSIDIO,2))/30.4*G38,2),0),0)</f>
        <v>47.66</v>
      </c>
      <c r="K38" s="182">
        <f>IF(H38&lt;=207.44,0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0</v>
      </c>
      <c r="L38" s="182">
        <f>K38</f>
        <v>0</v>
      </c>
      <c r="M38" s="130">
        <f>I38+J38-L38</f>
        <v>2291.66</v>
      </c>
      <c r="N38" s="134"/>
      <c r="O38" s="49"/>
    </row>
    <row r="39" spans="1:15" s="88" customFormat="1" ht="30" customHeight="1" x14ac:dyDescent="0.2">
      <c r="A39" s="28"/>
      <c r="B39" s="239">
        <v>24</v>
      </c>
      <c r="C39" s="250" t="s">
        <v>430</v>
      </c>
      <c r="D39" s="240" t="s">
        <v>438</v>
      </c>
      <c r="E39" s="240" t="s">
        <v>346</v>
      </c>
      <c r="F39" s="241"/>
      <c r="G39" s="241">
        <v>15</v>
      </c>
      <c r="H39" s="233">
        <v>112.74</v>
      </c>
      <c r="I39" s="130">
        <f>ROUND(G39*H39,2)</f>
        <v>1691.1</v>
      </c>
      <c r="J39" s="130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108.9</v>
      </c>
      <c r="K39" s="182">
        <f>IF(H39&lt;=207.44,0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0</v>
      </c>
      <c r="L39" s="182">
        <f>K39</f>
        <v>0</v>
      </c>
      <c r="M39" s="130">
        <f>I39+J39-L39</f>
        <v>1800</v>
      </c>
      <c r="N39" s="134"/>
      <c r="O39" s="49"/>
    </row>
    <row r="40" spans="1:15" ht="30" customHeight="1" x14ac:dyDescent="0.2">
      <c r="B40" s="239"/>
      <c r="C40" s="250"/>
      <c r="D40" s="240"/>
      <c r="E40" s="252" t="s">
        <v>34</v>
      </c>
      <c r="F40" s="424"/>
      <c r="G40" s="426"/>
      <c r="H40" s="425"/>
      <c r="I40" s="131">
        <f>SUM(I35:I39)</f>
        <v>9419.7199999999993</v>
      </c>
      <c r="J40" s="131">
        <f>SUM(J35:J39)</f>
        <v>433.08999999999992</v>
      </c>
      <c r="K40" s="183">
        <f>SUM(K35:K39)</f>
        <v>0</v>
      </c>
      <c r="L40" s="183">
        <f>SUM(L35:L39)</f>
        <v>0</v>
      </c>
      <c r="M40" s="131">
        <f>SUM(M35:M39)</f>
        <v>9852.81</v>
      </c>
      <c r="N40" s="135">
        <f>SUM(N35:N38)</f>
        <v>0</v>
      </c>
      <c r="O40" s="49"/>
    </row>
    <row r="41" spans="1:15" ht="30" customHeight="1" x14ac:dyDescent="0.2">
      <c r="B41" s="416" t="s">
        <v>44</v>
      </c>
      <c r="C41" s="417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9"/>
      <c r="O41" s="49"/>
    </row>
    <row r="42" spans="1:15" s="88" customFormat="1" ht="30" customHeight="1" x14ac:dyDescent="0.2">
      <c r="A42" s="28"/>
      <c r="B42" s="239">
        <v>25</v>
      </c>
      <c r="C42" s="250" t="s">
        <v>430</v>
      </c>
      <c r="D42" s="240" t="s">
        <v>236</v>
      </c>
      <c r="E42" s="240" t="s">
        <v>63</v>
      </c>
      <c r="F42" s="78"/>
      <c r="G42" s="241">
        <v>15</v>
      </c>
      <c r="H42" s="233">
        <v>122.86660000000001</v>
      </c>
      <c r="I42" s="130">
        <f>ROUND(G42*H42,2)</f>
        <v>1843</v>
      </c>
      <c r="J42" s="130">
        <f t="shared" ref="J42:J57" si="13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87.26</v>
      </c>
      <c r="K42" s="182">
        <f t="shared" ref="K42:K57" si="14">IF(H42&lt;=207.44,0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82">
        <f t="shared" ref="L42:L57" si="15">K42</f>
        <v>0</v>
      </c>
      <c r="M42" s="130">
        <f t="shared" ref="M42:M57" si="16">I42+J42-L42</f>
        <v>1930.26</v>
      </c>
      <c r="N42" s="134"/>
      <c r="O42" s="49"/>
    </row>
    <row r="43" spans="1:15" s="88" customFormat="1" ht="30" customHeight="1" x14ac:dyDescent="0.2">
      <c r="A43" s="28"/>
      <c r="B43" s="239">
        <v>26</v>
      </c>
      <c r="C43" s="250" t="s">
        <v>430</v>
      </c>
      <c r="D43" s="240" t="s">
        <v>237</v>
      </c>
      <c r="E43" s="240" t="s">
        <v>64</v>
      </c>
      <c r="F43" s="78"/>
      <c r="G43" s="241">
        <v>15</v>
      </c>
      <c r="H43" s="233">
        <v>154.333</v>
      </c>
      <c r="I43" s="130">
        <f t="shared" ref="I43:I50" si="17">ROUND(G43*H43,2)</f>
        <v>2315</v>
      </c>
      <c r="J43" s="130">
        <f t="shared" si="13"/>
        <v>43.12</v>
      </c>
      <c r="K43" s="182">
        <f t="shared" si="14"/>
        <v>0</v>
      </c>
      <c r="L43" s="182">
        <f t="shared" si="15"/>
        <v>0</v>
      </c>
      <c r="M43" s="130">
        <f t="shared" si="16"/>
        <v>2358.12</v>
      </c>
      <c r="N43" s="134"/>
      <c r="O43" s="49"/>
    </row>
    <row r="44" spans="1:15" ht="30" customHeight="1" x14ac:dyDescent="0.2">
      <c r="B44" s="239">
        <v>27</v>
      </c>
      <c r="C44" s="250"/>
      <c r="D44" s="240" t="s">
        <v>238</v>
      </c>
      <c r="E44" s="240" t="s">
        <v>57</v>
      </c>
      <c r="F44" s="78"/>
      <c r="G44" s="241">
        <v>15</v>
      </c>
      <c r="H44" s="233">
        <v>212.333</v>
      </c>
      <c r="I44" s="130">
        <f t="shared" si="17"/>
        <v>3185</v>
      </c>
      <c r="J44" s="182">
        <f t="shared" si="13"/>
        <v>0</v>
      </c>
      <c r="K44" s="130">
        <f t="shared" si="14"/>
        <v>64.959999999999994</v>
      </c>
      <c r="L44" s="130">
        <f t="shared" si="15"/>
        <v>64.959999999999994</v>
      </c>
      <c r="M44" s="130">
        <f t="shared" si="16"/>
        <v>3120.04</v>
      </c>
      <c r="N44" s="134"/>
      <c r="O44" s="49"/>
    </row>
    <row r="45" spans="1:15" s="88" customFormat="1" ht="30" customHeight="1" x14ac:dyDescent="0.2">
      <c r="A45" s="28"/>
      <c r="B45" s="239">
        <v>28</v>
      </c>
      <c r="C45" s="250" t="s">
        <v>430</v>
      </c>
      <c r="D45" s="240" t="s">
        <v>335</v>
      </c>
      <c r="E45" s="240" t="s">
        <v>71</v>
      </c>
      <c r="F45" s="78"/>
      <c r="G45" s="241">
        <v>15</v>
      </c>
      <c r="H45" s="233">
        <v>127.2</v>
      </c>
      <c r="I45" s="130">
        <f t="shared" si="17"/>
        <v>1908</v>
      </c>
      <c r="J45" s="130">
        <f t="shared" si="13"/>
        <v>83.1</v>
      </c>
      <c r="K45" s="182">
        <f t="shared" si="14"/>
        <v>0</v>
      </c>
      <c r="L45" s="182">
        <f t="shared" si="15"/>
        <v>0</v>
      </c>
      <c r="M45" s="130">
        <f t="shared" si="16"/>
        <v>1991.1</v>
      </c>
      <c r="N45" s="134"/>
      <c r="O45" s="49"/>
    </row>
    <row r="46" spans="1:15" s="88" customFormat="1" ht="30" customHeight="1" x14ac:dyDescent="0.2">
      <c r="A46" s="28"/>
      <c r="B46" s="239">
        <v>29</v>
      </c>
      <c r="C46" s="250" t="s">
        <v>430</v>
      </c>
      <c r="D46" s="240" t="s">
        <v>437</v>
      </c>
      <c r="E46" s="240" t="s">
        <v>71</v>
      </c>
      <c r="F46" s="78"/>
      <c r="G46" s="241">
        <v>15</v>
      </c>
      <c r="H46" s="233">
        <v>142.07900000000001</v>
      </c>
      <c r="I46" s="130">
        <f>ROUND(G46*H46,2)</f>
        <v>2131.19</v>
      </c>
      <c r="J46" s="130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68.81</v>
      </c>
      <c r="K46" s="182">
        <f>IF(H46&lt;=207.44,0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82">
        <f t="shared" si="15"/>
        <v>0</v>
      </c>
      <c r="M46" s="130">
        <f>I46+J46-L46</f>
        <v>2200</v>
      </c>
      <c r="N46" s="134"/>
      <c r="O46" s="49"/>
    </row>
    <row r="47" spans="1:15" s="88" customFormat="1" ht="30" customHeight="1" x14ac:dyDescent="0.2">
      <c r="A47" s="28"/>
      <c r="B47" s="239">
        <v>30</v>
      </c>
      <c r="C47" s="250" t="s">
        <v>430</v>
      </c>
      <c r="D47" s="240" t="s">
        <v>239</v>
      </c>
      <c r="E47" s="240" t="s">
        <v>116</v>
      </c>
      <c r="F47" s="78"/>
      <c r="G47" s="241">
        <v>15</v>
      </c>
      <c r="H47" s="233">
        <v>80</v>
      </c>
      <c r="I47" s="130">
        <f t="shared" si="17"/>
        <v>1200</v>
      </c>
      <c r="J47" s="130">
        <f t="shared" si="13"/>
        <v>140.43</v>
      </c>
      <c r="K47" s="182">
        <f t="shared" si="14"/>
        <v>0</v>
      </c>
      <c r="L47" s="182">
        <f t="shared" si="15"/>
        <v>0</v>
      </c>
      <c r="M47" s="130">
        <f t="shared" si="16"/>
        <v>1340.43</v>
      </c>
      <c r="N47" s="134"/>
      <c r="O47" s="49"/>
    </row>
    <row r="48" spans="1:15" s="88" customFormat="1" ht="30" customHeight="1" x14ac:dyDescent="0.2">
      <c r="A48" s="28"/>
      <c r="B48" s="239">
        <v>31</v>
      </c>
      <c r="C48" s="250" t="s">
        <v>430</v>
      </c>
      <c r="D48" s="240" t="s">
        <v>240</v>
      </c>
      <c r="E48" s="240" t="s">
        <v>71</v>
      </c>
      <c r="F48" s="78"/>
      <c r="G48" s="241">
        <v>15</v>
      </c>
      <c r="H48" s="233">
        <v>142.07900000000001</v>
      </c>
      <c r="I48" s="130">
        <f t="shared" si="17"/>
        <v>2131.19</v>
      </c>
      <c r="J48" s="130">
        <f t="shared" si="13"/>
        <v>68.81</v>
      </c>
      <c r="K48" s="182">
        <f t="shared" si="14"/>
        <v>0</v>
      </c>
      <c r="L48" s="182">
        <f t="shared" si="15"/>
        <v>0</v>
      </c>
      <c r="M48" s="130">
        <f t="shared" si="16"/>
        <v>2200</v>
      </c>
      <c r="N48" s="134"/>
      <c r="O48" s="49"/>
    </row>
    <row r="49" spans="1:15" ht="30" customHeight="1" x14ac:dyDescent="0.2">
      <c r="B49" s="239">
        <v>32</v>
      </c>
      <c r="C49" s="250"/>
      <c r="D49" s="240" t="s">
        <v>241</v>
      </c>
      <c r="E49" s="240" t="s">
        <v>57</v>
      </c>
      <c r="F49" s="78"/>
      <c r="G49" s="241">
        <v>15</v>
      </c>
      <c r="H49" s="233">
        <v>212.333</v>
      </c>
      <c r="I49" s="130">
        <f>ROUND(G49*H49,2)</f>
        <v>3185</v>
      </c>
      <c r="J49" s="182">
        <f t="shared" si="13"/>
        <v>0</v>
      </c>
      <c r="K49" s="130">
        <f t="shared" si="14"/>
        <v>64.959999999999994</v>
      </c>
      <c r="L49" s="130">
        <f t="shared" si="15"/>
        <v>64.959999999999994</v>
      </c>
      <c r="M49" s="130">
        <f t="shared" si="16"/>
        <v>3120.04</v>
      </c>
      <c r="N49" s="134"/>
      <c r="O49" s="49"/>
    </row>
    <row r="50" spans="1:15" ht="30" customHeight="1" x14ac:dyDescent="0.2">
      <c r="B50" s="239">
        <v>33</v>
      </c>
      <c r="C50" s="250" t="s">
        <v>430</v>
      </c>
      <c r="D50" s="240" t="s">
        <v>444</v>
      </c>
      <c r="E50" s="240" t="s">
        <v>71</v>
      </c>
      <c r="F50" s="78"/>
      <c r="G50" s="241">
        <v>15</v>
      </c>
      <c r="H50" s="233">
        <v>142.07900000000001</v>
      </c>
      <c r="I50" s="130">
        <f t="shared" si="17"/>
        <v>2131.19</v>
      </c>
      <c r="J50" s="182">
        <f t="shared" si="13"/>
        <v>68.81</v>
      </c>
      <c r="K50" s="182">
        <f t="shared" si="14"/>
        <v>0</v>
      </c>
      <c r="L50" s="182">
        <f t="shared" si="15"/>
        <v>0</v>
      </c>
      <c r="M50" s="130">
        <f t="shared" si="16"/>
        <v>2200</v>
      </c>
      <c r="N50" s="134"/>
      <c r="O50" s="49"/>
    </row>
    <row r="51" spans="1:15" ht="30" customHeight="1" x14ac:dyDescent="0.2">
      <c r="B51" s="239">
        <v>34</v>
      </c>
      <c r="C51" s="250"/>
      <c r="D51" s="240" t="s">
        <v>242</v>
      </c>
      <c r="E51" s="240" t="s">
        <v>57</v>
      </c>
      <c r="F51" s="78"/>
      <c r="G51" s="241">
        <v>15</v>
      </c>
      <c r="H51" s="233">
        <v>212.333</v>
      </c>
      <c r="I51" s="130">
        <f t="shared" ref="I51:I57" si="18">ROUND(G51*H51,2)</f>
        <v>3185</v>
      </c>
      <c r="J51" s="182">
        <f t="shared" si="13"/>
        <v>0</v>
      </c>
      <c r="K51" s="130">
        <f t="shared" si="14"/>
        <v>64.959999999999994</v>
      </c>
      <c r="L51" s="130">
        <f t="shared" si="15"/>
        <v>64.959999999999994</v>
      </c>
      <c r="M51" s="130">
        <f t="shared" si="16"/>
        <v>3120.04</v>
      </c>
      <c r="N51" s="134"/>
      <c r="O51" s="49"/>
    </row>
    <row r="52" spans="1:15" s="88" customFormat="1" ht="30" customHeight="1" x14ac:dyDescent="0.2">
      <c r="A52" s="28"/>
      <c r="B52" s="239">
        <v>35</v>
      </c>
      <c r="C52" s="250" t="s">
        <v>430</v>
      </c>
      <c r="D52" s="240" t="s">
        <v>188</v>
      </c>
      <c r="E52" s="240" t="s">
        <v>57</v>
      </c>
      <c r="F52" s="78"/>
      <c r="G52" s="241">
        <v>15</v>
      </c>
      <c r="H52" s="233">
        <v>212.333</v>
      </c>
      <c r="I52" s="130">
        <f t="shared" si="18"/>
        <v>3185</v>
      </c>
      <c r="J52" s="182">
        <f t="shared" si="13"/>
        <v>0</v>
      </c>
      <c r="K52" s="130">
        <f t="shared" si="14"/>
        <v>64.959999999999994</v>
      </c>
      <c r="L52" s="130">
        <f t="shared" si="15"/>
        <v>64.959999999999994</v>
      </c>
      <c r="M52" s="130">
        <f t="shared" si="16"/>
        <v>3120.04</v>
      </c>
      <c r="N52" s="134"/>
      <c r="O52" s="49"/>
    </row>
    <row r="53" spans="1:15" s="88" customFormat="1" ht="30" customHeight="1" x14ac:dyDescent="0.2">
      <c r="A53" s="28"/>
      <c r="B53" s="239">
        <v>36</v>
      </c>
      <c r="C53" s="250" t="s">
        <v>430</v>
      </c>
      <c r="D53" s="240" t="s">
        <v>187</v>
      </c>
      <c r="E53" s="240" t="s">
        <v>57</v>
      </c>
      <c r="F53" s="78"/>
      <c r="G53" s="241">
        <v>15</v>
      </c>
      <c r="H53" s="233">
        <v>212.333</v>
      </c>
      <c r="I53" s="130">
        <f t="shared" si="18"/>
        <v>3185</v>
      </c>
      <c r="J53" s="182">
        <f t="shared" si="13"/>
        <v>0</v>
      </c>
      <c r="K53" s="130">
        <f t="shared" si="14"/>
        <v>64.959999999999994</v>
      </c>
      <c r="L53" s="130">
        <f t="shared" si="15"/>
        <v>64.959999999999994</v>
      </c>
      <c r="M53" s="130">
        <f t="shared" si="16"/>
        <v>3120.04</v>
      </c>
      <c r="N53" s="134"/>
      <c r="O53" s="49"/>
    </row>
    <row r="54" spans="1:15" s="88" customFormat="1" ht="30" customHeight="1" x14ac:dyDescent="0.2">
      <c r="A54" s="28"/>
      <c r="B54" s="239">
        <v>37</v>
      </c>
      <c r="C54" s="250" t="s">
        <v>430</v>
      </c>
      <c r="D54" s="240" t="s">
        <v>464</v>
      </c>
      <c r="E54" s="240" t="s">
        <v>57</v>
      </c>
      <c r="F54" s="78"/>
      <c r="G54" s="241">
        <v>15</v>
      </c>
      <c r="H54" s="233">
        <v>212.333</v>
      </c>
      <c r="I54" s="233">
        <v>3185</v>
      </c>
      <c r="J54" s="182">
        <f t="shared" si="13"/>
        <v>0</v>
      </c>
      <c r="K54" s="130">
        <f t="shared" si="14"/>
        <v>64.959999999999994</v>
      </c>
      <c r="L54" s="130">
        <f t="shared" si="15"/>
        <v>64.959999999999994</v>
      </c>
      <c r="M54" s="130">
        <f t="shared" si="16"/>
        <v>3120.04</v>
      </c>
      <c r="N54" s="134"/>
      <c r="O54" s="49"/>
    </row>
    <row r="55" spans="1:15" s="88" customFormat="1" ht="30" customHeight="1" x14ac:dyDescent="0.2">
      <c r="A55" s="28"/>
      <c r="B55" s="239">
        <v>38</v>
      </c>
      <c r="C55" s="250" t="s">
        <v>430</v>
      </c>
      <c r="D55" s="240" t="s">
        <v>459</v>
      </c>
      <c r="E55" s="240" t="s">
        <v>57</v>
      </c>
      <c r="F55" s="78"/>
      <c r="G55" s="241">
        <v>15</v>
      </c>
      <c r="H55" s="233">
        <v>212.333</v>
      </c>
      <c r="I55" s="130">
        <f>ROUND(G55*H55,2)</f>
        <v>3185</v>
      </c>
      <c r="J55" s="182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0</v>
      </c>
      <c r="K55" s="130">
        <f>IF(H55&lt;=207.44,0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64.959999999999994</v>
      </c>
      <c r="L55" s="130">
        <f>K55</f>
        <v>64.959999999999994</v>
      </c>
      <c r="M55" s="130">
        <f>I55+J55-L55</f>
        <v>3120.04</v>
      </c>
      <c r="N55" s="134"/>
      <c r="O55" s="49"/>
    </row>
    <row r="56" spans="1:15" s="88" customFormat="1" ht="30" customHeight="1" x14ac:dyDescent="0.2">
      <c r="A56" s="28"/>
      <c r="B56" s="239">
        <v>39</v>
      </c>
      <c r="C56" s="250" t="s">
        <v>430</v>
      </c>
      <c r="D56" s="240" t="s">
        <v>465</v>
      </c>
      <c r="E56" s="240" t="s">
        <v>466</v>
      </c>
      <c r="F56" s="78"/>
      <c r="G56" s="241">
        <v>15</v>
      </c>
      <c r="H56" s="233">
        <v>158.5</v>
      </c>
      <c r="I56" s="130">
        <f>ROUND(G56*H56,2)</f>
        <v>2377.5</v>
      </c>
      <c r="J56" s="182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24.63</v>
      </c>
      <c r="K56" s="182">
        <v>0</v>
      </c>
      <c r="L56" s="182">
        <v>0</v>
      </c>
      <c r="M56" s="130">
        <f>I56+J56-L56</f>
        <v>2402.13</v>
      </c>
      <c r="N56" s="134"/>
      <c r="O56" s="49"/>
    </row>
    <row r="57" spans="1:15" s="88" customFormat="1" ht="30" customHeight="1" x14ac:dyDescent="0.2">
      <c r="A57" s="28"/>
      <c r="B57" s="239">
        <v>40</v>
      </c>
      <c r="C57" s="250" t="s">
        <v>430</v>
      </c>
      <c r="D57" s="240" t="s">
        <v>347</v>
      </c>
      <c r="E57" s="240" t="s">
        <v>348</v>
      </c>
      <c r="F57" s="78"/>
      <c r="G57" s="241">
        <v>15</v>
      </c>
      <c r="H57" s="233">
        <v>122.86660000000001</v>
      </c>
      <c r="I57" s="130">
        <f t="shared" si="18"/>
        <v>1843</v>
      </c>
      <c r="J57" s="130">
        <f t="shared" si="13"/>
        <v>87.26</v>
      </c>
      <c r="K57" s="182">
        <f t="shared" si="14"/>
        <v>0</v>
      </c>
      <c r="L57" s="182">
        <f t="shared" si="15"/>
        <v>0</v>
      </c>
      <c r="M57" s="130">
        <f t="shared" si="16"/>
        <v>1930.26</v>
      </c>
      <c r="N57" s="134"/>
      <c r="O57" s="49"/>
    </row>
    <row r="58" spans="1:15" ht="30" customHeight="1" x14ac:dyDescent="0.2">
      <c r="B58" s="239"/>
      <c r="C58" s="250"/>
      <c r="D58" s="240"/>
      <c r="E58" s="256" t="s">
        <v>34</v>
      </c>
      <c r="F58" s="424"/>
      <c r="G58" s="426"/>
      <c r="H58" s="425"/>
      <c r="I58" s="131">
        <f t="shared" ref="I58:N58" si="19">SUM(I42:I57)</f>
        <v>40175.07</v>
      </c>
      <c r="J58" s="131">
        <f t="shared" si="19"/>
        <v>672.2299999999999</v>
      </c>
      <c r="K58" s="131">
        <f t="shared" si="19"/>
        <v>454.71999999999991</v>
      </c>
      <c r="L58" s="131">
        <f t="shared" si="19"/>
        <v>454.71999999999991</v>
      </c>
      <c r="M58" s="131">
        <f t="shared" si="19"/>
        <v>40392.58</v>
      </c>
      <c r="N58" s="135">
        <f t="shared" si="19"/>
        <v>0</v>
      </c>
      <c r="O58" s="49"/>
    </row>
    <row r="59" spans="1:15" ht="30" customHeight="1" x14ac:dyDescent="0.2">
      <c r="B59" s="416" t="s">
        <v>45</v>
      </c>
      <c r="C59" s="417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9"/>
      <c r="O59" s="49"/>
    </row>
    <row r="60" spans="1:15" s="88" customFormat="1" ht="30" customHeight="1" x14ac:dyDescent="0.2">
      <c r="A60" s="28"/>
      <c r="B60" s="239">
        <v>41</v>
      </c>
      <c r="C60" s="250" t="s">
        <v>430</v>
      </c>
      <c r="D60" s="240" t="s">
        <v>243</v>
      </c>
      <c r="E60" s="240" t="s">
        <v>74</v>
      </c>
      <c r="F60" s="78"/>
      <c r="G60" s="241">
        <v>15</v>
      </c>
      <c r="H60" s="253">
        <v>129.733</v>
      </c>
      <c r="I60" s="130">
        <f>ROUND(G60*H60,2)</f>
        <v>1946</v>
      </c>
      <c r="J60" s="130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80.66</v>
      </c>
      <c r="K60" s="182">
        <f>IF(H60&lt;=207.44,0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82">
        <f>K60</f>
        <v>0</v>
      </c>
      <c r="M60" s="130">
        <f>I60+J60-L60</f>
        <v>2026.66</v>
      </c>
      <c r="N60" s="134"/>
      <c r="O60" s="49"/>
    </row>
    <row r="61" spans="1:15" s="88" customFormat="1" ht="30" customHeight="1" x14ac:dyDescent="0.2">
      <c r="A61" s="28"/>
      <c r="B61" s="239">
        <v>42</v>
      </c>
      <c r="C61" s="250" t="s">
        <v>430</v>
      </c>
      <c r="D61" s="240" t="s">
        <v>244</v>
      </c>
      <c r="E61" s="240" t="s">
        <v>66</v>
      </c>
      <c r="F61" s="78"/>
      <c r="G61" s="241">
        <v>15</v>
      </c>
      <c r="H61" s="253">
        <v>204.9333</v>
      </c>
      <c r="I61" s="130">
        <f>ROUND(G61*H61,2)</f>
        <v>3074</v>
      </c>
      <c r="J61" s="182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182">
        <f>IF(H61&lt;=207.44,0,(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))</f>
        <v>0</v>
      </c>
      <c r="L61" s="182">
        <f>K61</f>
        <v>0</v>
      </c>
      <c r="M61" s="130">
        <f>I61+J61-L61</f>
        <v>3074</v>
      </c>
      <c r="N61" s="134"/>
      <c r="O61" s="49"/>
    </row>
    <row r="62" spans="1:15" s="88" customFormat="1" ht="30" customHeight="1" x14ac:dyDescent="0.2">
      <c r="A62" s="28"/>
      <c r="B62" s="239">
        <v>43</v>
      </c>
      <c r="C62" s="250" t="s">
        <v>430</v>
      </c>
      <c r="D62" s="240" t="s">
        <v>245</v>
      </c>
      <c r="E62" s="240" t="s">
        <v>66</v>
      </c>
      <c r="F62" s="78"/>
      <c r="G62" s="241">
        <v>15</v>
      </c>
      <c r="H62" s="253">
        <v>251.73330000000001</v>
      </c>
      <c r="I62" s="130">
        <f>ROUND(G62*H62,2)</f>
        <v>3776</v>
      </c>
      <c r="J62" s="182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130">
        <f>IF(H62&lt;=207.44,0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254.37</v>
      </c>
      <c r="L62" s="130">
        <f>K62</f>
        <v>254.37</v>
      </c>
      <c r="M62" s="130">
        <f>I62+J62-L62</f>
        <v>3521.63</v>
      </c>
      <c r="N62" s="134"/>
      <c r="O62" s="49"/>
    </row>
    <row r="63" spans="1:15" s="88" customFormat="1" ht="30" customHeight="1" x14ac:dyDescent="0.2">
      <c r="A63" s="28"/>
      <c r="B63" s="239">
        <v>44</v>
      </c>
      <c r="C63" s="250" t="s">
        <v>430</v>
      </c>
      <c r="D63" s="240" t="s">
        <v>333</v>
      </c>
      <c r="E63" s="240" t="s">
        <v>334</v>
      </c>
      <c r="F63" s="78"/>
      <c r="G63" s="241">
        <v>15</v>
      </c>
      <c r="H63" s="253">
        <v>303</v>
      </c>
      <c r="I63" s="130">
        <f>ROUND(G63*H63,2)</f>
        <v>4545</v>
      </c>
      <c r="J63" s="182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0</v>
      </c>
      <c r="K63" s="130">
        <f>IF(H63&lt;=207.44,0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338.03</v>
      </c>
      <c r="L63" s="130">
        <f>K63</f>
        <v>338.03</v>
      </c>
      <c r="M63" s="130">
        <f>I63+J63-L63</f>
        <v>4206.97</v>
      </c>
      <c r="N63" s="134"/>
      <c r="O63" s="49"/>
    </row>
    <row r="64" spans="1:15" ht="30" customHeight="1" x14ac:dyDescent="0.2">
      <c r="B64" s="239"/>
      <c r="C64" s="250"/>
      <c r="D64" s="240"/>
      <c r="E64" s="252" t="s">
        <v>34</v>
      </c>
      <c r="F64" s="424"/>
      <c r="G64" s="426"/>
      <c r="H64" s="425"/>
      <c r="I64" s="131">
        <f>SUM(I60:I63)</f>
        <v>13341</v>
      </c>
      <c r="J64" s="131">
        <f t="shared" ref="J64:N64" si="20">SUM(J60:J63)</f>
        <v>80.66</v>
      </c>
      <c r="K64" s="131">
        <f t="shared" si="20"/>
        <v>592.4</v>
      </c>
      <c r="L64" s="131">
        <f t="shared" si="20"/>
        <v>592.4</v>
      </c>
      <c r="M64" s="131">
        <f>SUM(M60:M63)</f>
        <v>12829.260000000002</v>
      </c>
      <c r="N64" s="135">
        <f t="shared" si="20"/>
        <v>0</v>
      </c>
      <c r="O64" s="49"/>
    </row>
    <row r="65" spans="1:15" ht="30" customHeight="1" x14ac:dyDescent="0.2">
      <c r="B65" s="416" t="s">
        <v>47</v>
      </c>
      <c r="C65" s="417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9"/>
      <c r="O65" s="49"/>
    </row>
    <row r="66" spans="1:15" s="86" customFormat="1" ht="30" customHeight="1" x14ac:dyDescent="0.2">
      <c r="A66" s="5"/>
      <c r="B66" s="239">
        <v>45</v>
      </c>
      <c r="C66" s="250" t="s">
        <v>430</v>
      </c>
      <c r="D66" s="258" t="s">
        <v>135</v>
      </c>
      <c r="E66" s="240" t="s">
        <v>48</v>
      </c>
      <c r="F66" s="78"/>
      <c r="G66" s="241">
        <v>15</v>
      </c>
      <c r="H66" s="233">
        <v>298.86660000000001</v>
      </c>
      <c r="I66" s="130">
        <f t="shared" ref="I66:I71" si="21">ROUND(G66*H66,2)</f>
        <v>4483</v>
      </c>
      <c r="J66" s="182">
        <f t="shared" ref="J66:J72" si="22"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30">
        <f t="shared" ref="K66:K72" si="23">IF(H66&lt;=207.44,0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331.29</v>
      </c>
      <c r="L66" s="130">
        <f t="shared" ref="L66:L75" si="24">K66</f>
        <v>331.29</v>
      </c>
      <c r="M66" s="130">
        <f t="shared" ref="M66:M72" si="25">I66+J66-L66</f>
        <v>4151.71</v>
      </c>
      <c r="N66" s="134"/>
      <c r="O66" s="49"/>
    </row>
    <row r="67" spans="1:15" s="88" customFormat="1" ht="30" customHeight="1" x14ac:dyDescent="0.2">
      <c r="A67" s="28"/>
      <c r="B67" s="239">
        <v>46</v>
      </c>
      <c r="C67" s="250" t="s">
        <v>430</v>
      </c>
      <c r="D67" s="240" t="s">
        <v>246</v>
      </c>
      <c r="E67" s="240" t="s">
        <v>48</v>
      </c>
      <c r="F67" s="78"/>
      <c r="G67" s="241">
        <v>15</v>
      </c>
      <c r="H67" s="233">
        <v>174.8</v>
      </c>
      <c r="I67" s="130">
        <f t="shared" si="21"/>
        <v>2622</v>
      </c>
      <c r="J67" s="130">
        <f t="shared" si="22"/>
        <v>8.98</v>
      </c>
      <c r="K67" s="182">
        <f t="shared" si="23"/>
        <v>0</v>
      </c>
      <c r="L67" s="182">
        <f t="shared" si="24"/>
        <v>0</v>
      </c>
      <c r="M67" s="130">
        <f t="shared" si="25"/>
        <v>2630.98</v>
      </c>
      <c r="N67" s="134"/>
      <c r="O67" s="49"/>
    </row>
    <row r="68" spans="1:15" ht="30" customHeight="1" x14ac:dyDescent="0.2">
      <c r="B68" s="239">
        <v>47</v>
      </c>
      <c r="C68" s="250" t="s">
        <v>430</v>
      </c>
      <c r="D68" s="240" t="s">
        <v>247</v>
      </c>
      <c r="E68" s="240" t="s">
        <v>55</v>
      </c>
      <c r="F68" s="64"/>
      <c r="G68" s="241">
        <v>15</v>
      </c>
      <c r="H68" s="233">
        <v>127.834</v>
      </c>
      <c r="I68" s="130">
        <f t="shared" si="21"/>
        <v>1917.51</v>
      </c>
      <c r="J68" s="130">
        <f t="shared" si="22"/>
        <v>82.49</v>
      </c>
      <c r="K68" s="182">
        <f t="shared" si="23"/>
        <v>0</v>
      </c>
      <c r="L68" s="182">
        <f t="shared" si="24"/>
        <v>0</v>
      </c>
      <c r="M68" s="130">
        <f t="shared" si="25"/>
        <v>2000</v>
      </c>
      <c r="N68" s="134"/>
      <c r="O68" s="49"/>
    </row>
    <row r="69" spans="1:15" ht="30" customHeight="1" x14ac:dyDescent="0.2">
      <c r="B69" s="239">
        <v>48</v>
      </c>
      <c r="C69" s="250"/>
      <c r="D69" s="240" t="s">
        <v>248</v>
      </c>
      <c r="E69" s="240" t="s">
        <v>55</v>
      </c>
      <c r="F69" s="78"/>
      <c r="G69" s="241">
        <v>15</v>
      </c>
      <c r="H69" s="233">
        <v>120.86660000000001</v>
      </c>
      <c r="I69" s="130">
        <f t="shared" si="21"/>
        <v>1813</v>
      </c>
      <c r="J69" s="130">
        <f t="shared" si="22"/>
        <v>89.18</v>
      </c>
      <c r="K69" s="182">
        <f t="shared" si="23"/>
        <v>0</v>
      </c>
      <c r="L69" s="182">
        <f t="shared" si="24"/>
        <v>0</v>
      </c>
      <c r="M69" s="130">
        <f t="shared" si="25"/>
        <v>1902.18</v>
      </c>
      <c r="N69" s="134"/>
      <c r="O69" s="49"/>
    </row>
    <row r="70" spans="1:15" ht="30" customHeight="1" x14ac:dyDescent="0.2">
      <c r="B70" s="239">
        <v>49</v>
      </c>
      <c r="C70" s="250"/>
      <c r="D70" s="240" t="s">
        <v>249</v>
      </c>
      <c r="E70" s="240" t="s">
        <v>55</v>
      </c>
      <c r="F70" s="78"/>
      <c r="G70" s="241">
        <v>15</v>
      </c>
      <c r="H70" s="233">
        <v>128</v>
      </c>
      <c r="I70" s="130">
        <f t="shared" si="21"/>
        <v>1920</v>
      </c>
      <c r="J70" s="130">
        <f t="shared" si="22"/>
        <v>82.33</v>
      </c>
      <c r="K70" s="182">
        <f t="shared" si="23"/>
        <v>0</v>
      </c>
      <c r="L70" s="182">
        <f t="shared" si="24"/>
        <v>0</v>
      </c>
      <c r="M70" s="130">
        <f t="shared" si="25"/>
        <v>2002.33</v>
      </c>
      <c r="N70" s="134"/>
      <c r="O70" s="49"/>
    </row>
    <row r="71" spans="1:15" ht="30" customHeight="1" x14ac:dyDescent="0.2">
      <c r="B71" s="239">
        <v>50</v>
      </c>
      <c r="C71" s="250"/>
      <c r="D71" s="240" t="s">
        <v>250</v>
      </c>
      <c r="E71" s="240" t="s">
        <v>55</v>
      </c>
      <c r="F71" s="78"/>
      <c r="G71" s="241">
        <v>15</v>
      </c>
      <c r="H71" s="233">
        <v>128</v>
      </c>
      <c r="I71" s="130">
        <f t="shared" si="21"/>
        <v>1920</v>
      </c>
      <c r="J71" s="130">
        <f t="shared" si="22"/>
        <v>82.33</v>
      </c>
      <c r="K71" s="182">
        <f t="shared" si="23"/>
        <v>0</v>
      </c>
      <c r="L71" s="182">
        <f t="shared" si="24"/>
        <v>0</v>
      </c>
      <c r="M71" s="130">
        <f t="shared" si="25"/>
        <v>2002.33</v>
      </c>
      <c r="N71" s="134"/>
      <c r="O71" s="49"/>
    </row>
    <row r="72" spans="1:15" s="88" customFormat="1" ht="30" customHeight="1" x14ac:dyDescent="0.2">
      <c r="A72" s="28"/>
      <c r="B72" s="239">
        <v>51</v>
      </c>
      <c r="C72" s="250" t="s">
        <v>430</v>
      </c>
      <c r="D72" s="258" t="s">
        <v>172</v>
      </c>
      <c r="E72" s="240" t="s">
        <v>55</v>
      </c>
      <c r="F72" s="78"/>
      <c r="G72" s="241">
        <v>15</v>
      </c>
      <c r="H72" s="233">
        <v>100</v>
      </c>
      <c r="I72" s="130">
        <f>ROUND(G72*H72,2)</f>
        <v>1500</v>
      </c>
      <c r="J72" s="130">
        <f t="shared" si="22"/>
        <v>121.13</v>
      </c>
      <c r="K72" s="182">
        <f t="shared" si="23"/>
        <v>0</v>
      </c>
      <c r="L72" s="182">
        <f t="shared" si="24"/>
        <v>0</v>
      </c>
      <c r="M72" s="130">
        <f t="shared" si="25"/>
        <v>1621.13</v>
      </c>
      <c r="N72" s="134"/>
      <c r="O72" s="49"/>
    </row>
    <row r="73" spans="1:15" s="88" customFormat="1" ht="30" customHeight="1" x14ac:dyDescent="0.2">
      <c r="A73" s="28"/>
      <c r="B73" s="239">
        <v>52</v>
      </c>
      <c r="C73" s="250" t="s">
        <v>430</v>
      </c>
      <c r="D73" s="258" t="s">
        <v>448</v>
      </c>
      <c r="E73" s="240" t="s">
        <v>449</v>
      </c>
      <c r="F73" s="78"/>
      <c r="G73" s="241">
        <v>15</v>
      </c>
      <c r="H73" s="233">
        <v>362.32299999999998</v>
      </c>
      <c r="I73" s="130">
        <f>ROUND(G73*H73,2)</f>
        <v>5434.85</v>
      </c>
      <c r="J73" s="182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0</v>
      </c>
      <c r="K73" s="182">
        <f>IF(H73&lt;=207.44,0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434.85</v>
      </c>
      <c r="L73" s="182">
        <f>K73</f>
        <v>434.85</v>
      </c>
      <c r="M73" s="130">
        <f>I73+J73-L73</f>
        <v>5000</v>
      </c>
      <c r="N73" s="134"/>
      <c r="O73" s="49"/>
    </row>
    <row r="74" spans="1:15" s="88" customFormat="1" ht="30" customHeight="1" x14ac:dyDescent="0.2">
      <c r="A74" s="28"/>
      <c r="B74" s="239">
        <v>53</v>
      </c>
      <c r="C74" s="250" t="s">
        <v>430</v>
      </c>
      <c r="D74" s="258" t="s">
        <v>461</v>
      </c>
      <c r="E74" s="240" t="s">
        <v>449</v>
      </c>
      <c r="F74" s="78"/>
      <c r="G74" s="241">
        <v>15</v>
      </c>
      <c r="H74" s="233">
        <v>523.65</v>
      </c>
      <c r="I74" s="130">
        <f>ROUND(G74*H74,2)</f>
        <v>7854.75</v>
      </c>
      <c r="J74" s="182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82">
        <f>IF(H74&lt;=207.44,0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854.75</v>
      </c>
      <c r="L74" s="182">
        <f>K74</f>
        <v>854.75</v>
      </c>
      <c r="M74" s="130">
        <f>I74+J74-L74</f>
        <v>7000</v>
      </c>
      <c r="N74" s="134"/>
      <c r="O74" s="49"/>
    </row>
    <row r="75" spans="1:15" s="88" customFormat="1" ht="30" customHeight="1" x14ac:dyDescent="0.2">
      <c r="A75" s="28"/>
      <c r="B75" s="239">
        <v>54</v>
      </c>
      <c r="C75" s="250" t="s">
        <v>430</v>
      </c>
      <c r="D75" s="258" t="s">
        <v>431</v>
      </c>
      <c r="E75" s="240" t="s">
        <v>43</v>
      </c>
      <c r="F75" s="78"/>
      <c r="G75" s="241">
        <v>15</v>
      </c>
      <c r="H75" s="233">
        <v>127.834</v>
      </c>
      <c r="I75" s="130">
        <f>ROUND(G75*H75,2)</f>
        <v>1917.51</v>
      </c>
      <c r="J75" s="130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82.49</v>
      </c>
      <c r="K75" s="182">
        <f>IF(H75&lt;=207.44,0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82">
        <f t="shared" si="24"/>
        <v>0</v>
      </c>
      <c r="M75" s="130">
        <f>I75+J75-L75</f>
        <v>2000</v>
      </c>
      <c r="N75" s="134"/>
      <c r="O75" s="49"/>
    </row>
    <row r="76" spans="1:15" ht="30" customHeight="1" x14ac:dyDescent="0.2">
      <c r="B76" s="239"/>
      <c r="C76" s="250"/>
      <c r="D76" s="240"/>
      <c r="E76" s="252" t="s">
        <v>34</v>
      </c>
      <c r="F76" s="424"/>
      <c r="G76" s="426"/>
      <c r="H76" s="425"/>
      <c r="I76" s="131">
        <f>SUM(I66:I75)</f>
        <v>31382.62</v>
      </c>
      <c r="J76" s="131">
        <f>SUM(J66:J75)</f>
        <v>548.92999999999995</v>
      </c>
      <c r="K76" s="131">
        <f>SUM(K66:K75)</f>
        <v>1620.89</v>
      </c>
      <c r="L76" s="131">
        <f>SUM(L66:L75)</f>
        <v>1620.89</v>
      </c>
      <c r="M76" s="131">
        <f>SUM(M66:M75)</f>
        <v>30310.66</v>
      </c>
      <c r="N76" s="135">
        <f>SUM(N66:N72)</f>
        <v>0</v>
      </c>
      <c r="O76" s="49"/>
    </row>
    <row r="77" spans="1:15" ht="30" customHeight="1" x14ac:dyDescent="0.2">
      <c r="B77" s="416" t="s">
        <v>65</v>
      </c>
      <c r="C77" s="417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9"/>
      <c r="O77" s="49"/>
    </row>
    <row r="78" spans="1:15" s="5" customFormat="1" ht="30" customHeight="1" x14ac:dyDescent="0.2">
      <c r="B78" s="239">
        <v>55</v>
      </c>
      <c r="C78" s="250"/>
      <c r="D78" s="240" t="s">
        <v>251</v>
      </c>
      <c r="E78" s="240" t="s">
        <v>36</v>
      </c>
      <c r="F78" s="78"/>
      <c r="G78" s="241">
        <v>0</v>
      </c>
      <c r="H78" s="253">
        <v>303</v>
      </c>
      <c r="I78" s="130">
        <f>ROUND(G78*H78,2)</f>
        <v>0</v>
      </c>
      <c r="J78" s="182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30">
        <f>IF(H78&lt;=207.44,0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0</v>
      </c>
      <c r="L78" s="130">
        <f>K78</f>
        <v>0</v>
      </c>
      <c r="M78" s="130">
        <f>I78+J78-L78</f>
        <v>0</v>
      </c>
      <c r="N78" s="134"/>
      <c r="O78" s="49"/>
    </row>
    <row r="79" spans="1:15" ht="30" customHeight="1" x14ac:dyDescent="0.2">
      <c r="B79" s="239">
        <v>56</v>
      </c>
      <c r="C79" s="250" t="s">
        <v>430</v>
      </c>
      <c r="D79" s="240" t="s">
        <v>341</v>
      </c>
      <c r="E79" s="240" t="s">
        <v>55</v>
      </c>
      <c r="F79" s="64"/>
      <c r="G79" s="241">
        <v>15</v>
      </c>
      <c r="H79" s="253">
        <v>102.2</v>
      </c>
      <c r="I79" s="130">
        <f>ROUND(G79*H79,2)</f>
        <v>1533</v>
      </c>
      <c r="J79" s="130">
        <v>119.1</v>
      </c>
      <c r="K79" s="182">
        <v>0</v>
      </c>
      <c r="L79" s="182">
        <f>K79</f>
        <v>0</v>
      </c>
      <c r="M79" s="130">
        <f>I79+J79-L79</f>
        <v>1652.1</v>
      </c>
      <c r="N79" s="134"/>
      <c r="O79" s="49"/>
    </row>
    <row r="80" spans="1:15" ht="30" customHeight="1" x14ac:dyDescent="0.2">
      <c r="B80" s="239"/>
      <c r="C80" s="250"/>
      <c r="D80" s="240"/>
      <c r="E80" s="252" t="s">
        <v>34</v>
      </c>
      <c r="F80" s="424"/>
      <c r="G80" s="426"/>
      <c r="H80" s="425"/>
      <c r="I80" s="131">
        <f>SUM(I78:I79)</f>
        <v>1533</v>
      </c>
      <c r="J80" s="131">
        <f t="shared" ref="J80:N80" si="26">SUM(J78:J79)</f>
        <v>119.1</v>
      </c>
      <c r="K80" s="131">
        <f t="shared" si="26"/>
        <v>0</v>
      </c>
      <c r="L80" s="131">
        <f t="shared" si="26"/>
        <v>0</v>
      </c>
      <c r="M80" s="131">
        <f t="shared" si="26"/>
        <v>1652.1</v>
      </c>
      <c r="N80" s="135">
        <f t="shared" si="26"/>
        <v>0</v>
      </c>
      <c r="O80" s="49"/>
    </row>
    <row r="81" spans="1:15" ht="30" customHeight="1" x14ac:dyDescent="0.2">
      <c r="B81" s="416" t="s">
        <v>51</v>
      </c>
      <c r="C81" s="417"/>
      <c r="D81" s="418"/>
      <c r="E81" s="418"/>
      <c r="F81" s="418"/>
      <c r="G81" s="418"/>
      <c r="H81" s="418"/>
      <c r="I81" s="418"/>
      <c r="J81" s="418"/>
      <c r="K81" s="418"/>
      <c r="L81" s="418"/>
      <c r="M81" s="418"/>
      <c r="N81" s="419"/>
      <c r="O81" s="49"/>
    </row>
    <row r="82" spans="1:15" ht="30" customHeight="1" x14ac:dyDescent="0.2">
      <c r="B82" s="239">
        <v>57</v>
      </c>
      <c r="C82" s="250"/>
      <c r="D82" s="258" t="s">
        <v>252</v>
      </c>
      <c r="E82" s="240" t="s">
        <v>43</v>
      </c>
      <c r="F82" s="78"/>
      <c r="G82" s="241">
        <v>15</v>
      </c>
      <c r="H82" s="233">
        <v>100</v>
      </c>
      <c r="I82" s="130">
        <f t="shared" ref="I82:I87" si="27">ROUND(G82*H82,2)</f>
        <v>1500</v>
      </c>
      <c r="J82" s="130">
        <f t="shared" ref="J82:J87" si="28"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121.13</v>
      </c>
      <c r="K82" s="182">
        <f t="shared" ref="K82:K87" si="29">IF(H82&lt;=207.44,0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82">
        <f t="shared" ref="L82:L87" si="30">K82</f>
        <v>0</v>
      </c>
      <c r="M82" s="130">
        <f t="shared" ref="M82:M87" si="31">I82+J82-L82</f>
        <v>1621.13</v>
      </c>
      <c r="N82" s="134"/>
      <c r="O82" s="49"/>
    </row>
    <row r="83" spans="1:15" s="88" customFormat="1" ht="30" customHeight="1" x14ac:dyDescent="0.2">
      <c r="A83" s="28"/>
      <c r="B83" s="239">
        <v>58</v>
      </c>
      <c r="C83" s="250" t="s">
        <v>430</v>
      </c>
      <c r="D83" s="258" t="s">
        <v>253</v>
      </c>
      <c r="E83" s="240" t="s">
        <v>73</v>
      </c>
      <c r="F83" s="78"/>
      <c r="G83" s="241">
        <v>15</v>
      </c>
      <c r="H83" s="233">
        <v>143.86660000000001</v>
      </c>
      <c r="I83" s="130">
        <f t="shared" si="27"/>
        <v>2158</v>
      </c>
      <c r="J83" s="130">
        <f t="shared" si="28"/>
        <v>67.099999999999994</v>
      </c>
      <c r="K83" s="182">
        <f t="shared" si="29"/>
        <v>0</v>
      </c>
      <c r="L83" s="182">
        <f t="shared" si="30"/>
        <v>0</v>
      </c>
      <c r="M83" s="130">
        <f t="shared" si="31"/>
        <v>2225.1</v>
      </c>
      <c r="N83" s="134"/>
      <c r="O83" s="49"/>
    </row>
    <row r="84" spans="1:15" ht="30" customHeight="1" x14ac:dyDescent="0.2">
      <c r="B84" s="239">
        <v>59</v>
      </c>
      <c r="C84" s="250" t="s">
        <v>430</v>
      </c>
      <c r="D84" s="258" t="s">
        <v>453</v>
      </c>
      <c r="E84" s="240" t="s">
        <v>66</v>
      </c>
      <c r="F84" s="78"/>
      <c r="G84" s="241">
        <v>15</v>
      </c>
      <c r="H84" s="233">
        <v>113.333</v>
      </c>
      <c r="I84" s="130">
        <f t="shared" si="27"/>
        <v>1700</v>
      </c>
      <c r="J84" s="130">
        <f t="shared" si="28"/>
        <v>108.33</v>
      </c>
      <c r="K84" s="182">
        <f t="shared" si="29"/>
        <v>0</v>
      </c>
      <c r="L84" s="182">
        <f t="shared" si="30"/>
        <v>0</v>
      </c>
      <c r="M84" s="130">
        <f t="shared" si="31"/>
        <v>1808.33</v>
      </c>
      <c r="N84" s="134"/>
      <c r="O84" s="49"/>
    </row>
    <row r="85" spans="1:15" s="88" customFormat="1" ht="30" customHeight="1" x14ac:dyDescent="0.2">
      <c r="A85" s="28"/>
      <c r="B85" s="239">
        <v>60</v>
      </c>
      <c r="C85" s="250" t="s">
        <v>430</v>
      </c>
      <c r="D85" s="258" t="s">
        <v>254</v>
      </c>
      <c r="E85" s="240" t="s">
        <v>66</v>
      </c>
      <c r="F85" s="78"/>
      <c r="G85" s="241">
        <v>15</v>
      </c>
      <c r="H85" s="233">
        <v>113.333</v>
      </c>
      <c r="I85" s="130">
        <f t="shared" si="27"/>
        <v>1700</v>
      </c>
      <c r="J85" s="130">
        <f t="shared" si="28"/>
        <v>108.33</v>
      </c>
      <c r="K85" s="182">
        <f t="shared" si="29"/>
        <v>0</v>
      </c>
      <c r="L85" s="182">
        <f t="shared" si="30"/>
        <v>0</v>
      </c>
      <c r="M85" s="130">
        <f t="shared" si="31"/>
        <v>1808.33</v>
      </c>
      <c r="N85" s="134"/>
      <c r="O85" s="49"/>
    </row>
    <row r="86" spans="1:15" ht="30" customHeight="1" x14ac:dyDescent="0.2">
      <c r="B86" s="239">
        <v>61</v>
      </c>
      <c r="C86" s="250"/>
      <c r="D86" s="240" t="s">
        <v>255</v>
      </c>
      <c r="E86" s="240" t="s">
        <v>107</v>
      </c>
      <c r="F86" s="78"/>
      <c r="G86" s="241">
        <v>15</v>
      </c>
      <c r="H86" s="233">
        <v>94.866600000000005</v>
      </c>
      <c r="I86" s="130">
        <f t="shared" si="27"/>
        <v>1423</v>
      </c>
      <c r="J86" s="130">
        <f t="shared" si="28"/>
        <v>126.06</v>
      </c>
      <c r="K86" s="182">
        <f t="shared" si="29"/>
        <v>0</v>
      </c>
      <c r="L86" s="182">
        <f t="shared" si="30"/>
        <v>0</v>
      </c>
      <c r="M86" s="130">
        <f t="shared" si="31"/>
        <v>1549.06</v>
      </c>
      <c r="N86" s="134"/>
      <c r="O86" s="49"/>
    </row>
    <row r="87" spans="1:15" s="88" customFormat="1" ht="30" customHeight="1" x14ac:dyDescent="0.2">
      <c r="A87" s="28"/>
      <c r="B87" s="239">
        <v>62</v>
      </c>
      <c r="C87" s="250" t="s">
        <v>430</v>
      </c>
      <c r="D87" s="240" t="s">
        <v>468</v>
      </c>
      <c r="E87" s="240" t="s">
        <v>127</v>
      </c>
      <c r="F87" s="241"/>
      <c r="G87" s="241">
        <v>15</v>
      </c>
      <c r="H87" s="233">
        <v>86.666600000000003</v>
      </c>
      <c r="I87" s="130">
        <f t="shared" si="27"/>
        <v>1300</v>
      </c>
      <c r="J87" s="130">
        <f t="shared" si="28"/>
        <v>134.03</v>
      </c>
      <c r="K87" s="182">
        <f t="shared" si="29"/>
        <v>0</v>
      </c>
      <c r="L87" s="182">
        <f t="shared" si="30"/>
        <v>0</v>
      </c>
      <c r="M87" s="130">
        <f t="shared" si="31"/>
        <v>1434.03</v>
      </c>
      <c r="N87" s="134"/>
      <c r="O87" s="49"/>
    </row>
    <row r="88" spans="1:15" ht="30" customHeight="1" x14ac:dyDescent="0.2">
      <c r="B88" s="239"/>
      <c r="C88" s="250"/>
      <c r="D88" s="240"/>
      <c r="E88" s="252" t="s">
        <v>34</v>
      </c>
      <c r="F88" s="424"/>
      <c r="G88" s="426"/>
      <c r="H88" s="425"/>
      <c r="I88" s="131">
        <f>SUM(I82:I87)</f>
        <v>9781</v>
      </c>
      <c r="J88" s="131">
        <f t="shared" ref="J88:N88" si="32">SUM(J82:J87)</f>
        <v>664.98</v>
      </c>
      <c r="K88" s="183">
        <f t="shared" si="32"/>
        <v>0</v>
      </c>
      <c r="L88" s="183">
        <f t="shared" si="32"/>
        <v>0</v>
      </c>
      <c r="M88" s="131">
        <f>SUM(M82:M87)</f>
        <v>10445.98</v>
      </c>
      <c r="N88" s="135">
        <f t="shared" si="32"/>
        <v>0</v>
      </c>
      <c r="O88" s="49"/>
    </row>
    <row r="89" spans="1:15" ht="30" customHeight="1" x14ac:dyDescent="0.2">
      <c r="B89" s="416" t="s">
        <v>53</v>
      </c>
      <c r="C89" s="417"/>
      <c r="D89" s="418"/>
      <c r="E89" s="418"/>
      <c r="F89" s="418"/>
      <c r="G89" s="418"/>
      <c r="H89" s="418"/>
      <c r="I89" s="418"/>
      <c r="J89" s="418"/>
      <c r="K89" s="418"/>
      <c r="L89" s="418"/>
      <c r="M89" s="418"/>
      <c r="N89" s="419"/>
      <c r="O89" s="49"/>
    </row>
    <row r="90" spans="1:15" s="5" customFormat="1" ht="30" customHeight="1" x14ac:dyDescent="0.2">
      <c r="B90" s="239">
        <v>63</v>
      </c>
      <c r="C90" s="250"/>
      <c r="D90" s="258" t="s">
        <v>256</v>
      </c>
      <c r="E90" s="240" t="s">
        <v>101</v>
      </c>
      <c r="F90" s="78"/>
      <c r="G90" s="241">
        <v>15</v>
      </c>
      <c r="H90" s="233">
        <v>106.6666</v>
      </c>
      <c r="I90" s="130">
        <f t="shared" ref="I90:I104" si="33">ROUND(G90*H90,2)</f>
        <v>1600</v>
      </c>
      <c r="J90" s="130">
        <f t="shared" ref="J90:J104" si="34"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114.73</v>
      </c>
      <c r="K90" s="182">
        <f t="shared" ref="K90:K104" si="35">IF(H90&lt;=207.44,0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0</v>
      </c>
      <c r="L90" s="182">
        <f t="shared" ref="L90:L104" si="36">K90</f>
        <v>0</v>
      </c>
      <c r="M90" s="130">
        <f t="shared" ref="M90:M104" si="37">I90+J90-L90</f>
        <v>1714.73</v>
      </c>
      <c r="N90" s="134"/>
      <c r="O90" s="49"/>
    </row>
    <row r="91" spans="1:15" ht="30" customHeight="1" x14ac:dyDescent="0.2">
      <c r="B91" s="239">
        <v>64</v>
      </c>
      <c r="C91" s="250"/>
      <c r="D91" s="240" t="s">
        <v>257</v>
      </c>
      <c r="E91" s="240" t="s">
        <v>55</v>
      </c>
      <c r="F91" s="78"/>
      <c r="G91" s="241">
        <v>4</v>
      </c>
      <c r="H91" s="233">
        <v>109.33329999999999</v>
      </c>
      <c r="I91" s="130">
        <f t="shared" si="33"/>
        <v>437.33</v>
      </c>
      <c r="J91" s="130">
        <f t="shared" si="34"/>
        <v>29.91</v>
      </c>
      <c r="K91" s="182">
        <f t="shared" si="35"/>
        <v>0</v>
      </c>
      <c r="L91" s="182">
        <f t="shared" si="36"/>
        <v>0</v>
      </c>
      <c r="M91" s="130">
        <f t="shared" si="37"/>
        <v>467.24</v>
      </c>
      <c r="N91" s="134"/>
      <c r="O91" s="49"/>
    </row>
    <row r="92" spans="1:15" s="88" customFormat="1" ht="30" customHeight="1" x14ac:dyDescent="0.2">
      <c r="A92" s="28"/>
      <c r="B92" s="239">
        <v>65</v>
      </c>
      <c r="C92" s="250" t="s">
        <v>430</v>
      </c>
      <c r="D92" s="240" t="s">
        <v>258</v>
      </c>
      <c r="E92" s="240" t="s">
        <v>117</v>
      </c>
      <c r="F92" s="78"/>
      <c r="G92" s="241">
        <v>15</v>
      </c>
      <c r="H92" s="233">
        <v>89.6</v>
      </c>
      <c r="I92" s="130">
        <f t="shared" si="33"/>
        <v>1344</v>
      </c>
      <c r="J92" s="130">
        <f t="shared" si="34"/>
        <v>131.11000000000001</v>
      </c>
      <c r="K92" s="182">
        <f t="shared" si="35"/>
        <v>0</v>
      </c>
      <c r="L92" s="182">
        <f t="shared" si="36"/>
        <v>0</v>
      </c>
      <c r="M92" s="130">
        <f t="shared" si="37"/>
        <v>1475.1100000000001</v>
      </c>
      <c r="N92" s="134"/>
      <c r="O92" s="49"/>
    </row>
    <row r="93" spans="1:15" ht="30" customHeight="1" x14ac:dyDescent="0.2">
      <c r="B93" s="239">
        <v>66</v>
      </c>
      <c r="C93" s="250"/>
      <c r="D93" s="240" t="s">
        <v>259</v>
      </c>
      <c r="E93" s="240" t="s">
        <v>110</v>
      </c>
      <c r="F93" s="78"/>
      <c r="G93" s="241">
        <v>15</v>
      </c>
      <c r="H93" s="233">
        <v>284.33300000000003</v>
      </c>
      <c r="I93" s="130">
        <f t="shared" si="33"/>
        <v>4265</v>
      </c>
      <c r="J93" s="182">
        <f t="shared" si="34"/>
        <v>0</v>
      </c>
      <c r="K93" s="130">
        <f t="shared" si="35"/>
        <v>307.57</v>
      </c>
      <c r="L93" s="130">
        <f t="shared" si="36"/>
        <v>307.57</v>
      </c>
      <c r="M93" s="130">
        <f t="shared" si="37"/>
        <v>3957.43</v>
      </c>
      <c r="N93" s="134"/>
      <c r="O93" s="49"/>
    </row>
    <row r="94" spans="1:15" ht="30" customHeight="1" x14ac:dyDescent="0.2">
      <c r="B94" s="239">
        <v>67</v>
      </c>
      <c r="C94" s="250"/>
      <c r="D94" s="240" t="s">
        <v>260</v>
      </c>
      <c r="E94" s="240" t="s">
        <v>39</v>
      </c>
      <c r="F94" s="78"/>
      <c r="G94" s="241">
        <v>15</v>
      </c>
      <c r="H94" s="233">
        <v>107.2666</v>
      </c>
      <c r="I94" s="130">
        <f t="shared" si="33"/>
        <v>1609</v>
      </c>
      <c r="J94" s="130">
        <f t="shared" si="34"/>
        <v>114.15</v>
      </c>
      <c r="K94" s="182">
        <f t="shared" si="35"/>
        <v>0</v>
      </c>
      <c r="L94" s="182">
        <f t="shared" si="36"/>
        <v>0</v>
      </c>
      <c r="M94" s="130">
        <v>1615.88</v>
      </c>
      <c r="N94" s="134"/>
      <c r="O94" s="49"/>
    </row>
    <row r="95" spans="1:15" s="5" customFormat="1" ht="30" customHeight="1" x14ac:dyDescent="0.2">
      <c r="B95" s="239">
        <v>68</v>
      </c>
      <c r="C95" s="250"/>
      <c r="D95" s="240" t="s">
        <v>261</v>
      </c>
      <c r="E95" s="240" t="s">
        <v>39</v>
      </c>
      <c r="F95" s="78"/>
      <c r="G95" s="241">
        <v>15</v>
      </c>
      <c r="H95" s="233">
        <v>107.2666</v>
      </c>
      <c r="I95" s="130">
        <f>ROUND(G95*H95,2)</f>
        <v>1609</v>
      </c>
      <c r="J95" s="130">
        <f t="shared" si="34"/>
        <v>114.15</v>
      </c>
      <c r="K95" s="182">
        <f t="shared" si="35"/>
        <v>0</v>
      </c>
      <c r="L95" s="182">
        <f t="shared" si="36"/>
        <v>0</v>
      </c>
      <c r="M95" s="130">
        <v>1615.88</v>
      </c>
      <c r="N95" s="134"/>
      <c r="O95" s="49"/>
    </row>
    <row r="96" spans="1:15" ht="30" customHeight="1" x14ac:dyDescent="0.2">
      <c r="B96" s="239">
        <v>69</v>
      </c>
      <c r="C96" s="250"/>
      <c r="D96" s="240" t="s">
        <v>262</v>
      </c>
      <c r="E96" s="240" t="s">
        <v>125</v>
      </c>
      <c r="F96" s="78"/>
      <c r="G96" s="241">
        <v>15</v>
      </c>
      <c r="H96" s="233">
        <v>107.2666</v>
      </c>
      <c r="I96" s="130">
        <f>ROUND(G96*H96,2)</f>
        <v>1609</v>
      </c>
      <c r="J96" s="130">
        <f t="shared" si="34"/>
        <v>114.15</v>
      </c>
      <c r="K96" s="182">
        <f t="shared" si="35"/>
        <v>0</v>
      </c>
      <c r="L96" s="182">
        <f t="shared" si="36"/>
        <v>0</v>
      </c>
      <c r="M96" s="130">
        <v>1615.88</v>
      </c>
      <c r="N96" s="134"/>
      <c r="O96" s="49"/>
    </row>
    <row r="97" spans="1:15" ht="30" customHeight="1" x14ac:dyDescent="0.2">
      <c r="B97" s="239">
        <v>70</v>
      </c>
      <c r="C97" s="250"/>
      <c r="D97" s="240" t="s">
        <v>264</v>
      </c>
      <c r="E97" s="240" t="s">
        <v>71</v>
      </c>
      <c r="F97" s="241"/>
      <c r="G97" s="241">
        <v>15</v>
      </c>
      <c r="H97" s="233">
        <v>78.733000000000004</v>
      </c>
      <c r="I97" s="130">
        <f t="shared" si="33"/>
        <v>1181</v>
      </c>
      <c r="J97" s="130">
        <f t="shared" si="34"/>
        <v>141.65</v>
      </c>
      <c r="K97" s="182">
        <f t="shared" si="35"/>
        <v>0</v>
      </c>
      <c r="L97" s="182">
        <f t="shared" si="36"/>
        <v>0</v>
      </c>
      <c r="M97" s="130">
        <f t="shared" si="37"/>
        <v>1322.65</v>
      </c>
      <c r="N97" s="134"/>
      <c r="O97" s="49"/>
    </row>
    <row r="98" spans="1:15" s="88" customFormat="1" ht="30" customHeight="1" x14ac:dyDescent="0.2">
      <c r="A98" s="28"/>
      <c r="B98" s="239">
        <v>71</v>
      </c>
      <c r="C98" s="250" t="s">
        <v>430</v>
      </c>
      <c r="D98" s="240" t="s">
        <v>263</v>
      </c>
      <c r="E98" s="240" t="s">
        <v>67</v>
      </c>
      <c r="F98" s="78"/>
      <c r="G98" s="241">
        <v>15</v>
      </c>
      <c r="H98" s="233">
        <v>202.4</v>
      </c>
      <c r="I98" s="130">
        <f t="shared" si="33"/>
        <v>3036</v>
      </c>
      <c r="J98" s="130">
        <f t="shared" si="34"/>
        <v>0</v>
      </c>
      <c r="K98" s="182">
        <f t="shared" si="35"/>
        <v>0</v>
      </c>
      <c r="L98" s="182">
        <f t="shared" si="36"/>
        <v>0</v>
      </c>
      <c r="M98" s="130">
        <f t="shared" si="37"/>
        <v>3036</v>
      </c>
      <c r="N98" s="134"/>
      <c r="O98" s="49"/>
    </row>
    <row r="99" spans="1:15" s="88" customFormat="1" ht="30" customHeight="1" x14ac:dyDescent="0.2">
      <c r="A99" s="28"/>
      <c r="B99" s="239">
        <v>72</v>
      </c>
      <c r="C99" s="250"/>
      <c r="D99" s="240" t="s">
        <v>265</v>
      </c>
      <c r="E99" s="240" t="s">
        <v>57</v>
      </c>
      <c r="F99" s="78"/>
      <c r="G99" s="241">
        <v>15</v>
      </c>
      <c r="H99" s="233">
        <v>78.733000000000004</v>
      </c>
      <c r="I99" s="130">
        <f t="shared" si="33"/>
        <v>1181</v>
      </c>
      <c r="J99" s="130">
        <f t="shared" si="34"/>
        <v>141.65</v>
      </c>
      <c r="K99" s="182">
        <f t="shared" si="35"/>
        <v>0</v>
      </c>
      <c r="L99" s="182">
        <f t="shared" si="36"/>
        <v>0</v>
      </c>
      <c r="M99" s="130">
        <f t="shared" si="37"/>
        <v>1322.65</v>
      </c>
      <c r="N99" s="134"/>
      <c r="O99" s="49"/>
    </row>
    <row r="100" spans="1:15" s="88" customFormat="1" ht="30" customHeight="1" x14ac:dyDescent="0.2">
      <c r="A100" s="28"/>
      <c r="B100" s="239">
        <v>73</v>
      </c>
      <c r="C100" s="250" t="s">
        <v>430</v>
      </c>
      <c r="D100" s="240" t="s">
        <v>458</v>
      </c>
      <c r="E100" s="240" t="s">
        <v>57</v>
      </c>
      <c r="F100" s="78"/>
      <c r="G100" s="241">
        <v>15</v>
      </c>
      <c r="H100" s="233">
        <v>78.733000000000004</v>
      </c>
      <c r="I100" s="130">
        <f t="shared" ref="I100" si="38">ROUND(G100*H100,2)</f>
        <v>1181</v>
      </c>
      <c r="J100" s="130">
        <f t="shared" ref="J100" si="39"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141.65</v>
      </c>
      <c r="K100" s="182">
        <f t="shared" ref="K100" si="40">IF(H100&lt;=207.44,0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0</v>
      </c>
      <c r="L100" s="182">
        <f t="shared" ref="L100" si="41">K100</f>
        <v>0</v>
      </c>
      <c r="M100" s="130">
        <f t="shared" ref="M100" si="42">I100+J100-L100</f>
        <v>1322.65</v>
      </c>
      <c r="N100" s="134"/>
      <c r="O100" s="49"/>
    </row>
    <row r="101" spans="1:15" ht="30" customHeight="1" x14ac:dyDescent="0.2">
      <c r="B101" s="239">
        <v>74</v>
      </c>
      <c r="C101" s="250"/>
      <c r="D101" s="240" t="s">
        <v>266</v>
      </c>
      <c r="E101" s="240" t="s">
        <v>66</v>
      </c>
      <c r="F101" s="78"/>
      <c r="G101" s="241">
        <v>15</v>
      </c>
      <c r="H101" s="233">
        <v>170.733</v>
      </c>
      <c r="I101" s="130">
        <f t="shared" si="33"/>
        <v>2561</v>
      </c>
      <c r="J101" s="130">
        <f t="shared" si="34"/>
        <v>12.89</v>
      </c>
      <c r="K101" s="182">
        <f t="shared" si="35"/>
        <v>0</v>
      </c>
      <c r="L101" s="182">
        <f t="shared" si="36"/>
        <v>0</v>
      </c>
      <c r="M101" s="130">
        <f t="shared" si="37"/>
        <v>2573.89</v>
      </c>
      <c r="N101" s="134"/>
      <c r="O101" s="49"/>
    </row>
    <row r="102" spans="1:15" ht="30" customHeight="1" x14ac:dyDescent="0.2">
      <c r="B102" s="239">
        <v>75</v>
      </c>
      <c r="C102" s="250"/>
      <c r="D102" s="240" t="s">
        <v>267</v>
      </c>
      <c r="E102" s="240" t="s">
        <v>124</v>
      </c>
      <c r="F102" s="78"/>
      <c r="G102" s="241">
        <v>15</v>
      </c>
      <c r="H102" s="233">
        <v>78.733000000000004</v>
      </c>
      <c r="I102" s="130">
        <f t="shared" si="33"/>
        <v>1181</v>
      </c>
      <c r="J102" s="130">
        <f t="shared" si="34"/>
        <v>141.65</v>
      </c>
      <c r="K102" s="182">
        <f t="shared" si="35"/>
        <v>0</v>
      </c>
      <c r="L102" s="182">
        <f t="shared" si="36"/>
        <v>0</v>
      </c>
      <c r="M102" s="130">
        <f t="shared" si="37"/>
        <v>1322.65</v>
      </c>
      <c r="N102" s="134"/>
      <c r="O102" s="49"/>
    </row>
    <row r="103" spans="1:15" ht="30" customHeight="1" x14ac:dyDescent="0.2">
      <c r="B103" s="239">
        <v>76</v>
      </c>
      <c r="C103" s="250" t="s">
        <v>430</v>
      </c>
      <c r="D103" s="240" t="s">
        <v>447</v>
      </c>
      <c r="E103" s="240" t="s">
        <v>55</v>
      </c>
      <c r="F103" s="79"/>
      <c r="G103" s="241">
        <v>15</v>
      </c>
      <c r="H103" s="259">
        <v>91.372399999999999</v>
      </c>
      <c r="I103" s="130">
        <f t="shared" si="33"/>
        <v>1370.59</v>
      </c>
      <c r="J103" s="130">
        <f t="shared" si="34"/>
        <v>129.41</v>
      </c>
      <c r="K103" s="182">
        <f t="shared" si="35"/>
        <v>0</v>
      </c>
      <c r="L103" s="182">
        <f t="shared" si="36"/>
        <v>0</v>
      </c>
      <c r="M103" s="130">
        <f t="shared" si="37"/>
        <v>1500</v>
      </c>
      <c r="N103" s="134"/>
      <c r="O103" s="49"/>
    </row>
    <row r="104" spans="1:15" s="88" customFormat="1" ht="30" customHeight="1" x14ac:dyDescent="0.2">
      <c r="A104" s="28"/>
      <c r="B104" s="239">
        <v>77</v>
      </c>
      <c r="C104" s="250" t="s">
        <v>430</v>
      </c>
      <c r="D104" s="240" t="s">
        <v>162</v>
      </c>
      <c r="E104" s="240" t="s">
        <v>43</v>
      </c>
      <c r="F104" s="79"/>
      <c r="G104" s="241">
        <v>15</v>
      </c>
      <c r="H104" s="259">
        <v>165.66659999999999</v>
      </c>
      <c r="I104" s="130">
        <f t="shared" si="33"/>
        <v>2485</v>
      </c>
      <c r="J104" s="130">
        <f t="shared" si="34"/>
        <v>17.75</v>
      </c>
      <c r="K104" s="182">
        <f t="shared" si="35"/>
        <v>0</v>
      </c>
      <c r="L104" s="182">
        <f t="shared" si="36"/>
        <v>0</v>
      </c>
      <c r="M104" s="130">
        <f t="shared" si="37"/>
        <v>2502.75</v>
      </c>
      <c r="N104" s="134"/>
      <c r="O104" s="49"/>
    </row>
    <row r="105" spans="1:15" ht="30" customHeight="1" x14ac:dyDescent="0.2">
      <c r="B105" s="239"/>
      <c r="C105" s="250"/>
      <c r="D105" s="240"/>
      <c r="E105" s="252" t="s">
        <v>34</v>
      </c>
      <c r="F105" s="424"/>
      <c r="G105" s="426"/>
      <c r="H105" s="425"/>
      <c r="I105" s="131">
        <f t="shared" ref="I105:N105" si="43">SUM(I90:I104)</f>
        <v>26649.920000000002</v>
      </c>
      <c r="J105" s="131">
        <f t="shared" si="43"/>
        <v>1344.8500000000001</v>
      </c>
      <c r="K105" s="131">
        <f t="shared" si="43"/>
        <v>307.57</v>
      </c>
      <c r="L105" s="131">
        <f t="shared" si="43"/>
        <v>307.57</v>
      </c>
      <c r="M105" s="131">
        <f t="shared" si="43"/>
        <v>27365.390000000007</v>
      </c>
      <c r="N105" s="135">
        <f t="shared" si="43"/>
        <v>0</v>
      </c>
      <c r="O105" s="49"/>
    </row>
    <row r="106" spans="1:15" ht="30" customHeight="1" x14ac:dyDescent="0.2">
      <c r="B106" s="416" t="s">
        <v>54</v>
      </c>
      <c r="C106" s="417"/>
      <c r="D106" s="418"/>
      <c r="E106" s="418"/>
      <c r="F106" s="418"/>
      <c r="G106" s="418"/>
      <c r="H106" s="418"/>
      <c r="I106" s="418"/>
      <c r="J106" s="418"/>
      <c r="K106" s="418"/>
      <c r="L106" s="418"/>
      <c r="M106" s="418"/>
      <c r="N106" s="419"/>
      <c r="O106" s="49"/>
    </row>
    <row r="107" spans="1:15" ht="30" customHeight="1" x14ac:dyDescent="0.2">
      <c r="B107" s="239">
        <v>78</v>
      </c>
      <c r="C107" s="250"/>
      <c r="D107" s="240" t="s">
        <v>221</v>
      </c>
      <c r="E107" s="240" t="s">
        <v>57</v>
      </c>
      <c r="F107" s="78"/>
      <c r="G107" s="241">
        <v>15</v>
      </c>
      <c r="H107" s="233">
        <v>118.13330000000001</v>
      </c>
      <c r="I107" s="130">
        <f t="shared" ref="I107:I121" si="44">ROUND(G107*H107,2)</f>
        <v>1772</v>
      </c>
      <c r="J107" s="130">
        <f t="shared" ref="J107:J121" si="45">IFERROR(IF(ROUND((((I107/G107*30.4)-VLOOKUP((I107/G107*30.4),TARIFA,1))*VLOOKUP((I107/G107*30.4),TARIFA,3)+VLOOKUP((I107/G107*30.4),TARIFA,2)-VLOOKUP((I107/G107*30.4),SUBSIDIO,2))/30.4*G107,2)&lt;0,ROUND(-(((I107/G107*30.4)-VLOOKUP((I107/G107*30.4),TARIFA,1))*VLOOKUP((I107/G107*30.4),TARIFA,3)+VLOOKUP((I107/G107*30.4),TARIFA,2)-VLOOKUP((I107/G107*30.4),SUBSIDIO,2))/30.4*G107,2),0),0)</f>
        <v>91.8</v>
      </c>
      <c r="K107" s="182">
        <f t="shared" ref="K107:K121" si="46">IF(H107&lt;=207.44,0,(IFERROR(IF(ROUND((((I107/G107*30.4)-VLOOKUP((I107/G107*30.4),TARIFA,1))*VLOOKUP((I107/G107*30.4),TARIFA,3)+VLOOKUP((I107/G107*30.4),TARIFA,2)-VLOOKUP((I107/G107*30.4),SUBSIDIO,2))/30.4*G107,2)&gt;0,ROUND((((I107/G107*30.4)-VLOOKUP((I107/G107*30.4),TARIFA,1))*VLOOKUP((I107/G107*30.4),TARIFA,3)+VLOOKUP((I107/G107*30.4),TARIFA,2)-VLOOKUP((I107/G107*30.4),SUBSIDIO,2))/30.4*G107,2),0),0)))</f>
        <v>0</v>
      </c>
      <c r="L107" s="182">
        <f t="shared" ref="L107:L121" si="47">K107</f>
        <v>0</v>
      </c>
      <c r="M107" s="130">
        <f t="shared" ref="M107:M121" si="48">I107+J107-L107</f>
        <v>1863.8</v>
      </c>
      <c r="N107" s="134"/>
      <c r="O107" s="49"/>
    </row>
    <row r="108" spans="1:15" ht="30" customHeight="1" x14ac:dyDescent="0.2">
      <c r="B108" s="239">
        <v>79</v>
      </c>
      <c r="C108" s="250" t="s">
        <v>430</v>
      </c>
      <c r="D108" s="240" t="s">
        <v>182</v>
      </c>
      <c r="E108" s="240" t="s">
        <v>128</v>
      </c>
      <c r="F108" s="78"/>
      <c r="G108" s="241">
        <v>15</v>
      </c>
      <c r="H108" s="233">
        <v>78.8</v>
      </c>
      <c r="I108" s="130">
        <f t="shared" si="44"/>
        <v>1182</v>
      </c>
      <c r="J108" s="130">
        <f t="shared" si="45"/>
        <v>141.58000000000001</v>
      </c>
      <c r="K108" s="182">
        <f t="shared" si="46"/>
        <v>0</v>
      </c>
      <c r="L108" s="182">
        <f t="shared" si="47"/>
        <v>0</v>
      </c>
      <c r="M108" s="130">
        <f t="shared" si="48"/>
        <v>1323.58</v>
      </c>
      <c r="N108" s="134"/>
      <c r="O108" s="49"/>
    </row>
    <row r="109" spans="1:15" ht="30" customHeight="1" x14ac:dyDescent="0.2">
      <c r="A109" s="28">
        <v>82</v>
      </c>
      <c r="B109" s="239">
        <v>80</v>
      </c>
      <c r="C109" s="250"/>
      <c r="D109" s="240" t="s">
        <v>268</v>
      </c>
      <c r="E109" s="240" t="s">
        <v>128</v>
      </c>
      <c r="F109" s="78"/>
      <c r="G109" s="241">
        <v>15</v>
      </c>
      <c r="H109" s="233">
        <v>78.8</v>
      </c>
      <c r="I109" s="130">
        <f t="shared" si="44"/>
        <v>1182</v>
      </c>
      <c r="J109" s="130">
        <f t="shared" si="45"/>
        <v>141.58000000000001</v>
      </c>
      <c r="K109" s="182">
        <f t="shared" si="46"/>
        <v>0</v>
      </c>
      <c r="L109" s="182">
        <f t="shared" si="47"/>
        <v>0</v>
      </c>
      <c r="M109" s="130">
        <f t="shared" si="48"/>
        <v>1323.58</v>
      </c>
      <c r="N109" s="134"/>
      <c r="O109" s="49"/>
    </row>
    <row r="110" spans="1:15" ht="30" customHeight="1" x14ac:dyDescent="0.2">
      <c r="B110" s="239">
        <v>81</v>
      </c>
      <c r="C110" s="250"/>
      <c r="D110" s="240" t="s">
        <v>269</v>
      </c>
      <c r="E110" s="240" t="s">
        <v>129</v>
      </c>
      <c r="F110" s="78"/>
      <c r="G110" s="241">
        <v>15</v>
      </c>
      <c r="H110" s="233">
        <v>100</v>
      </c>
      <c r="I110" s="130">
        <f t="shared" si="44"/>
        <v>1500</v>
      </c>
      <c r="J110" s="130">
        <f t="shared" si="45"/>
        <v>121.13</v>
      </c>
      <c r="K110" s="182">
        <f t="shared" si="46"/>
        <v>0</v>
      </c>
      <c r="L110" s="182">
        <f t="shared" si="47"/>
        <v>0</v>
      </c>
      <c r="M110" s="130">
        <f t="shared" si="48"/>
        <v>1621.13</v>
      </c>
      <c r="N110" s="134"/>
      <c r="O110" s="49"/>
    </row>
    <row r="111" spans="1:15" ht="30" customHeight="1" x14ac:dyDescent="0.2">
      <c r="B111" s="239">
        <v>82</v>
      </c>
      <c r="C111" s="250"/>
      <c r="D111" s="240" t="s">
        <v>380</v>
      </c>
      <c r="E111" s="240" t="s">
        <v>66</v>
      </c>
      <c r="F111" s="78"/>
      <c r="G111" s="241">
        <v>15</v>
      </c>
      <c r="H111" s="233">
        <v>186.35</v>
      </c>
      <c r="I111" s="130">
        <v>2812.29</v>
      </c>
      <c r="J111" s="182">
        <f>IFERROR(IF(ROUND((((I111/G111*30.4)-VLOOKUP((I111/G111*30.4),TARIFA,1))*VLOOKUP((I111/G111*30.4),TARIFA,3)+VLOOKUP((I111/G111*30.4),TARIFA,2)-VLOOKUP((I111/G111*30.4),SUBSIDIO,2))/30.4*G111,2)&lt;0,ROUND(-(((I111/G111*30.4)-VLOOKUP((I111/G111*30.4),TARIFA,1))*VLOOKUP((I111/G111*30.4),TARIFA,3)+VLOOKUP((I111/G111*30.4),TARIFA,2)-VLOOKUP((I111/G111*30.4),SUBSIDIO,2))/30.4*G111,2),0),0)</f>
        <v>0</v>
      </c>
      <c r="K111" s="182">
        <v>17.04</v>
      </c>
      <c r="L111" s="182">
        <f>K111</f>
        <v>17.04</v>
      </c>
      <c r="M111" s="130">
        <f>I111+J111-L111</f>
        <v>2795.25</v>
      </c>
      <c r="N111" s="134"/>
      <c r="O111" s="49"/>
    </row>
    <row r="112" spans="1:15" s="88" customFormat="1" ht="30" customHeight="1" x14ac:dyDescent="0.2">
      <c r="A112" s="28"/>
      <c r="B112" s="239">
        <v>83</v>
      </c>
      <c r="C112" s="250" t="s">
        <v>430</v>
      </c>
      <c r="D112" s="240" t="s">
        <v>270</v>
      </c>
      <c r="E112" s="240" t="s">
        <v>68</v>
      </c>
      <c r="F112" s="78"/>
      <c r="G112" s="241">
        <v>15</v>
      </c>
      <c r="H112" s="233">
        <v>100</v>
      </c>
      <c r="I112" s="130">
        <f t="shared" si="44"/>
        <v>1500</v>
      </c>
      <c r="J112" s="130">
        <f t="shared" si="45"/>
        <v>121.13</v>
      </c>
      <c r="K112" s="182">
        <f t="shared" si="46"/>
        <v>0</v>
      </c>
      <c r="L112" s="182">
        <f t="shared" si="47"/>
        <v>0</v>
      </c>
      <c r="M112" s="130">
        <f t="shared" si="48"/>
        <v>1621.13</v>
      </c>
      <c r="N112" s="134"/>
      <c r="O112" s="49"/>
    </row>
    <row r="113" spans="1:15" s="88" customFormat="1" ht="30" customHeight="1" x14ac:dyDescent="0.2">
      <c r="A113" s="28"/>
      <c r="B113" s="239">
        <v>84</v>
      </c>
      <c r="C113" s="250" t="s">
        <v>430</v>
      </c>
      <c r="D113" s="240" t="s">
        <v>492</v>
      </c>
      <c r="E113" s="240" t="s">
        <v>66</v>
      </c>
      <c r="F113" s="78"/>
      <c r="G113" s="241">
        <v>15</v>
      </c>
      <c r="H113" s="233">
        <v>184</v>
      </c>
      <c r="I113" s="130">
        <v>2786.3719999999998</v>
      </c>
      <c r="J113" s="130">
        <f>IFERROR(IF(ROUND((((I113/G113*30.4)-VLOOKUP((I113/G113*30.4),TARIFA,1))*VLOOKUP((I113/G113*30.4),TARIFA,3)+VLOOKUP((I113/G113*30.4),TARIFA,2)-VLOOKUP((I113/G113*30.4),SUBSIDIO,2))/30.4*G113,2)&lt;0,ROUND(-(((I113/G113*30.4)-VLOOKUP((I113/G113*30.4),TARIFA,1))*VLOOKUP((I113/G113*30.4),TARIFA,3)+VLOOKUP((I113/G113*30.4),TARIFA,2)-VLOOKUP((I113/G113*30.4),SUBSIDIO,2))/30.4*G113,2),0),0)</f>
        <v>0</v>
      </c>
      <c r="K113" s="182">
        <v>15.42</v>
      </c>
      <c r="L113" s="182">
        <f>K113</f>
        <v>15.42</v>
      </c>
      <c r="M113" s="130">
        <f>I113+J113-L113</f>
        <v>2770.9519999999998</v>
      </c>
      <c r="N113" s="134"/>
      <c r="O113" s="49"/>
    </row>
    <row r="114" spans="1:15" s="88" customFormat="1" ht="30" customHeight="1" x14ac:dyDescent="0.2">
      <c r="A114" s="28"/>
      <c r="B114" s="239">
        <v>85</v>
      </c>
      <c r="C114" s="250" t="s">
        <v>430</v>
      </c>
      <c r="D114" s="240" t="s">
        <v>271</v>
      </c>
      <c r="E114" s="240" t="s">
        <v>68</v>
      </c>
      <c r="F114" s="78"/>
      <c r="G114" s="241">
        <v>15</v>
      </c>
      <c r="H114" s="233">
        <v>80</v>
      </c>
      <c r="I114" s="130">
        <f t="shared" si="44"/>
        <v>1200</v>
      </c>
      <c r="J114" s="130">
        <f t="shared" si="45"/>
        <v>140.43</v>
      </c>
      <c r="K114" s="182">
        <f t="shared" si="46"/>
        <v>0</v>
      </c>
      <c r="L114" s="182">
        <f t="shared" si="47"/>
        <v>0</v>
      </c>
      <c r="M114" s="130">
        <f t="shared" si="48"/>
        <v>1340.43</v>
      </c>
      <c r="N114" s="134"/>
      <c r="O114" s="49"/>
    </row>
    <row r="115" spans="1:15" ht="30" customHeight="1" x14ac:dyDescent="0.2">
      <c r="B115" s="239">
        <v>86</v>
      </c>
      <c r="C115" s="250"/>
      <c r="D115" s="240" t="s">
        <v>166</v>
      </c>
      <c r="E115" s="240" t="s">
        <v>68</v>
      </c>
      <c r="F115" s="78"/>
      <c r="G115" s="241">
        <v>15</v>
      </c>
      <c r="H115" s="233">
        <v>98.666600000000003</v>
      </c>
      <c r="I115" s="130">
        <f t="shared" si="44"/>
        <v>1480</v>
      </c>
      <c r="J115" s="130">
        <f t="shared" si="45"/>
        <v>122.41</v>
      </c>
      <c r="K115" s="182">
        <f t="shared" si="46"/>
        <v>0</v>
      </c>
      <c r="L115" s="182">
        <f t="shared" si="47"/>
        <v>0</v>
      </c>
      <c r="M115" s="130">
        <f t="shared" si="48"/>
        <v>1602.41</v>
      </c>
      <c r="N115" s="134"/>
      <c r="O115" s="49"/>
    </row>
    <row r="116" spans="1:15" s="88" customFormat="1" ht="30" customHeight="1" x14ac:dyDescent="0.2">
      <c r="A116" s="28"/>
      <c r="B116" s="239">
        <v>87</v>
      </c>
      <c r="C116" s="250" t="s">
        <v>430</v>
      </c>
      <c r="D116" s="240" t="s">
        <v>277</v>
      </c>
      <c r="E116" s="240" t="s">
        <v>73</v>
      </c>
      <c r="F116" s="78"/>
      <c r="G116" s="241">
        <v>15</v>
      </c>
      <c r="H116" s="233">
        <v>124.733</v>
      </c>
      <c r="I116" s="130">
        <f t="shared" si="44"/>
        <v>1871</v>
      </c>
      <c r="J116" s="130">
        <f t="shared" si="45"/>
        <v>85.46</v>
      </c>
      <c r="K116" s="182">
        <f t="shared" si="46"/>
        <v>0</v>
      </c>
      <c r="L116" s="182">
        <f t="shared" si="47"/>
        <v>0</v>
      </c>
      <c r="M116" s="130">
        <f t="shared" si="48"/>
        <v>1956.46</v>
      </c>
      <c r="N116" s="134"/>
      <c r="O116" s="49"/>
    </row>
    <row r="117" spans="1:15" ht="30" customHeight="1" x14ac:dyDescent="0.2">
      <c r="B117" s="239">
        <v>88</v>
      </c>
      <c r="C117" s="250"/>
      <c r="D117" s="240" t="s">
        <v>276</v>
      </c>
      <c r="E117" s="240" t="s">
        <v>72</v>
      </c>
      <c r="F117" s="78"/>
      <c r="G117" s="241">
        <v>15</v>
      </c>
      <c r="H117" s="233">
        <v>212.33330000000001</v>
      </c>
      <c r="I117" s="130">
        <f t="shared" si="44"/>
        <v>3185</v>
      </c>
      <c r="J117" s="182">
        <f t="shared" si="45"/>
        <v>0</v>
      </c>
      <c r="K117" s="130">
        <f t="shared" si="46"/>
        <v>64.959999999999994</v>
      </c>
      <c r="L117" s="130">
        <f t="shared" si="47"/>
        <v>64.959999999999994</v>
      </c>
      <c r="M117" s="130">
        <f t="shared" si="48"/>
        <v>3120.04</v>
      </c>
      <c r="N117" s="134"/>
      <c r="O117" s="49"/>
    </row>
    <row r="118" spans="1:15" s="88" customFormat="1" ht="30" customHeight="1" x14ac:dyDescent="0.2">
      <c r="A118" s="28"/>
      <c r="B118" s="239">
        <v>89</v>
      </c>
      <c r="C118" s="250" t="s">
        <v>430</v>
      </c>
      <c r="D118" s="240" t="s">
        <v>275</v>
      </c>
      <c r="E118" s="240" t="s">
        <v>72</v>
      </c>
      <c r="F118" s="78"/>
      <c r="G118" s="241">
        <v>15</v>
      </c>
      <c r="H118" s="233">
        <v>100</v>
      </c>
      <c r="I118" s="130">
        <f t="shared" si="44"/>
        <v>1500</v>
      </c>
      <c r="J118" s="130">
        <f t="shared" si="45"/>
        <v>121.13</v>
      </c>
      <c r="K118" s="182">
        <f t="shared" si="46"/>
        <v>0</v>
      </c>
      <c r="L118" s="182">
        <f t="shared" si="47"/>
        <v>0</v>
      </c>
      <c r="M118" s="130">
        <f t="shared" si="48"/>
        <v>1621.13</v>
      </c>
      <c r="N118" s="134"/>
      <c r="O118" s="49"/>
    </row>
    <row r="119" spans="1:15" s="89" customFormat="1" ht="30" customHeight="1" x14ac:dyDescent="0.2">
      <c r="A119" s="28"/>
      <c r="B119" s="239">
        <v>90</v>
      </c>
      <c r="C119" s="250" t="s">
        <v>430</v>
      </c>
      <c r="D119" s="240" t="s">
        <v>274</v>
      </c>
      <c r="E119" s="240" t="s">
        <v>38</v>
      </c>
      <c r="F119" s="78"/>
      <c r="G119" s="241">
        <v>15</v>
      </c>
      <c r="H119" s="233">
        <v>133.333</v>
      </c>
      <c r="I119" s="130">
        <f t="shared" si="44"/>
        <v>2000</v>
      </c>
      <c r="J119" s="130">
        <f t="shared" si="45"/>
        <v>77.209999999999994</v>
      </c>
      <c r="K119" s="182">
        <f t="shared" si="46"/>
        <v>0</v>
      </c>
      <c r="L119" s="182">
        <f t="shared" si="47"/>
        <v>0</v>
      </c>
      <c r="M119" s="130">
        <f t="shared" si="48"/>
        <v>2077.21</v>
      </c>
      <c r="N119" s="134"/>
      <c r="O119" s="94"/>
    </row>
    <row r="120" spans="1:15" s="27" customFormat="1" ht="30" customHeight="1" x14ac:dyDescent="0.2">
      <c r="A120" s="28"/>
      <c r="B120" s="239">
        <v>91</v>
      </c>
      <c r="C120" s="250"/>
      <c r="D120" s="240" t="s">
        <v>273</v>
      </c>
      <c r="E120" s="240" t="s">
        <v>130</v>
      </c>
      <c r="F120" s="78"/>
      <c r="G120" s="241">
        <v>15</v>
      </c>
      <c r="H120" s="233">
        <v>128.4666</v>
      </c>
      <c r="I120" s="130">
        <f t="shared" si="44"/>
        <v>1927</v>
      </c>
      <c r="J120" s="130">
        <f t="shared" si="45"/>
        <v>81.88</v>
      </c>
      <c r="K120" s="182">
        <f t="shared" si="46"/>
        <v>0</v>
      </c>
      <c r="L120" s="182">
        <f t="shared" si="47"/>
        <v>0</v>
      </c>
      <c r="M120" s="130">
        <f t="shared" si="48"/>
        <v>2008.88</v>
      </c>
      <c r="N120" s="134"/>
      <c r="O120" s="94"/>
    </row>
    <row r="121" spans="1:15" s="89" customFormat="1" ht="30" customHeight="1" x14ac:dyDescent="0.2">
      <c r="A121" s="28"/>
      <c r="B121" s="239">
        <v>92</v>
      </c>
      <c r="C121" s="250" t="s">
        <v>430</v>
      </c>
      <c r="D121" s="240" t="s">
        <v>272</v>
      </c>
      <c r="E121" s="240" t="s">
        <v>101</v>
      </c>
      <c r="F121" s="78"/>
      <c r="G121" s="241">
        <v>15</v>
      </c>
      <c r="H121" s="233">
        <v>100</v>
      </c>
      <c r="I121" s="130">
        <f t="shared" si="44"/>
        <v>1500</v>
      </c>
      <c r="J121" s="130">
        <f t="shared" si="45"/>
        <v>121.13</v>
      </c>
      <c r="K121" s="182">
        <f t="shared" si="46"/>
        <v>0</v>
      </c>
      <c r="L121" s="182">
        <f t="shared" si="47"/>
        <v>0</v>
      </c>
      <c r="M121" s="130">
        <f t="shared" si="48"/>
        <v>1621.13</v>
      </c>
      <c r="N121" s="134"/>
      <c r="O121" s="94"/>
    </row>
    <row r="122" spans="1:15" ht="30" customHeight="1" x14ac:dyDescent="0.2">
      <c r="B122" s="239"/>
      <c r="C122" s="250"/>
      <c r="D122" s="240"/>
      <c r="E122" s="252" t="s">
        <v>34</v>
      </c>
      <c r="F122" s="424"/>
      <c r="G122" s="426"/>
      <c r="H122" s="425"/>
      <c r="I122" s="131">
        <f t="shared" ref="I122:N122" si="49">SUM(I107:I121)</f>
        <v>27397.662</v>
      </c>
      <c r="J122" s="131">
        <f t="shared" si="49"/>
        <v>1366.8700000000003</v>
      </c>
      <c r="K122" s="131">
        <f t="shared" si="49"/>
        <v>97.419999999999987</v>
      </c>
      <c r="L122" s="131">
        <f t="shared" si="49"/>
        <v>97.419999999999987</v>
      </c>
      <c r="M122" s="131">
        <f t="shared" si="49"/>
        <v>28667.112000000005</v>
      </c>
      <c r="N122" s="135">
        <f t="shared" si="49"/>
        <v>0</v>
      </c>
      <c r="O122" s="49"/>
    </row>
    <row r="123" spans="1:15" ht="30" customHeight="1" x14ac:dyDescent="0.2">
      <c r="B123" s="416" t="s">
        <v>56</v>
      </c>
      <c r="C123" s="417"/>
      <c r="D123" s="418"/>
      <c r="E123" s="418"/>
      <c r="F123" s="418"/>
      <c r="G123" s="418"/>
      <c r="H123" s="418"/>
      <c r="I123" s="418"/>
      <c r="J123" s="418"/>
      <c r="K123" s="418"/>
      <c r="L123" s="418"/>
      <c r="M123" s="418"/>
      <c r="N123" s="419"/>
      <c r="O123" s="49"/>
    </row>
    <row r="124" spans="1:15" s="88" customFormat="1" ht="30" customHeight="1" x14ac:dyDescent="0.2">
      <c r="A124" s="28"/>
      <c r="B124" s="239">
        <v>93</v>
      </c>
      <c r="C124" s="250" t="s">
        <v>430</v>
      </c>
      <c r="D124" s="240" t="s">
        <v>278</v>
      </c>
      <c r="E124" s="240" t="s">
        <v>126</v>
      </c>
      <c r="F124" s="78"/>
      <c r="G124" s="241">
        <v>15</v>
      </c>
      <c r="H124" s="253">
        <v>179.13300000000001</v>
      </c>
      <c r="I124" s="130">
        <f t="shared" ref="I124:I128" si="50">ROUND(G124*H124,2)</f>
        <v>2687</v>
      </c>
      <c r="J124" s="182">
        <f t="shared" ref="J124:J128" si="51">IFERROR(IF(ROUND((((I124/G124*30.4)-VLOOKUP((I124/G124*30.4),TARIFA,1))*VLOOKUP((I124/G124*30.4),TARIFA,3)+VLOOKUP((I124/G124*30.4),TARIFA,2)-VLOOKUP((I124/G124*30.4),SUBSIDIO,2))/30.4*G124,2)&lt;0,ROUND(-(((I124/G124*30.4)-VLOOKUP((I124/G124*30.4),TARIFA,1))*VLOOKUP((I124/G124*30.4),TARIFA,3)+VLOOKUP((I124/G124*30.4),TARIFA,2)-VLOOKUP((I124/G124*30.4),SUBSIDIO,2))/30.4*G124,2),0),0)</f>
        <v>0</v>
      </c>
      <c r="K124" s="182">
        <f t="shared" ref="K124:K128" si="52">IF(H124&lt;=207.44,0,(IFERROR(IF(ROUND((((I124/G124*30.4)-VLOOKUP((I124/G124*30.4),TARIFA,1))*VLOOKUP((I124/G124*30.4),TARIFA,3)+VLOOKUP((I124/G124*30.4),TARIFA,2)-VLOOKUP((I124/G124*30.4),SUBSIDIO,2))/30.4*G124,2)&gt;0,ROUND((((I124/G124*30.4)-VLOOKUP((I124/G124*30.4),TARIFA,1))*VLOOKUP((I124/G124*30.4),TARIFA,3)+VLOOKUP((I124/G124*30.4),TARIFA,2)-VLOOKUP((I124/G124*30.4),SUBSIDIO,2))/30.4*G124,2),0),0)))</f>
        <v>0</v>
      </c>
      <c r="L124" s="182">
        <f t="shared" ref="L124:L128" si="53">K124</f>
        <v>0</v>
      </c>
      <c r="M124" s="130">
        <f t="shared" ref="M124:M128" si="54">I124+J124-L124</f>
        <v>2687</v>
      </c>
      <c r="N124" s="134"/>
      <c r="O124" s="49"/>
    </row>
    <row r="125" spans="1:15" s="88" customFormat="1" ht="30" customHeight="1" x14ac:dyDescent="0.2">
      <c r="A125" s="28"/>
      <c r="B125" s="239">
        <v>94</v>
      </c>
      <c r="C125" s="250" t="s">
        <v>430</v>
      </c>
      <c r="D125" s="240" t="s">
        <v>279</v>
      </c>
      <c r="E125" s="240" t="s">
        <v>57</v>
      </c>
      <c r="F125" s="78"/>
      <c r="G125" s="241">
        <v>15</v>
      </c>
      <c r="H125" s="253">
        <v>133.333</v>
      </c>
      <c r="I125" s="130">
        <f t="shared" si="50"/>
        <v>2000</v>
      </c>
      <c r="J125" s="130">
        <f t="shared" si="51"/>
        <v>77.209999999999994</v>
      </c>
      <c r="K125" s="182">
        <f t="shared" si="52"/>
        <v>0</v>
      </c>
      <c r="L125" s="182">
        <f t="shared" si="53"/>
        <v>0</v>
      </c>
      <c r="M125" s="130">
        <f t="shared" si="54"/>
        <v>2077.21</v>
      </c>
      <c r="N125" s="134"/>
      <c r="O125" s="49"/>
    </row>
    <row r="126" spans="1:15" ht="30" customHeight="1" x14ac:dyDescent="0.2">
      <c r="B126" s="239">
        <v>95</v>
      </c>
      <c r="C126" s="250"/>
      <c r="D126" s="240" t="s">
        <v>280</v>
      </c>
      <c r="E126" s="240" t="s">
        <v>130</v>
      </c>
      <c r="F126" s="64"/>
      <c r="G126" s="241">
        <v>15</v>
      </c>
      <c r="H126" s="253">
        <v>251.73330000000001</v>
      </c>
      <c r="I126" s="130">
        <f t="shared" si="50"/>
        <v>3776</v>
      </c>
      <c r="J126" s="182">
        <f t="shared" si="51"/>
        <v>0</v>
      </c>
      <c r="K126" s="130">
        <f t="shared" si="52"/>
        <v>254.37</v>
      </c>
      <c r="L126" s="130">
        <f t="shared" si="53"/>
        <v>254.37</v>
      </c>
      <c r="M126" s="130">
        <f t="shared" si="54"/>
        <v>3521.63</v>
      </c>
      <c r="N126" s="134"/>
      <c r="O126" s="49"/>
    </row>
    <row r="127" spans="1:15" s="88" customFormat="1" ht="30" customHeight="1" x14ac:dyDescent="0.2">
      <c r="A127" s="28"/>
      <c r="B127" s="239">
        <v>96</v>
      </c>
      <c r="C127" s="250" t="s">
        <v>430</v>
      </c>
      <c r="D127" s="240" t="s">
        <v>281</v>
      </c>
      <c r="E127" s="240" t="s">
        <v>71</v>
      </c>
      <c r="F127" s="78"/>
      <c r="G127" s="241">
        <v>15</v>
      </c>
      <c r="H127" s="253">
        <v>120.712</v>
      </c>
      <c r="I127" s="130">
        <f t="shared" si="50"/>
        <v>1810.68</v>
      </c>
      <c r="J127" s="130">
        <f t="shared" si="51"/>
        <v>89.32</v>
      </c>
      <c r="K127" s="182">
        <f t="shared" si="52"/>
        <v>0</v>
      </c>
      <c r="L127" s="182">
        <f t="shared" si="53"/>
        <v>0</v>
      </c>
      <c r="M127" s="130">
        <f t="shared" si="54"/>
        <v>1900</v>
      </c>
      <c r="N127" s="134"/>
      <c r="O127" s="49"/>
    </row>
    <row r="128" spans="1:15" s="88" customFormat="1" ht="30" customHeight="1" x14ac:dyDescent="0.2">
      <c r="A128" s="28"/>
      <c r="B128" s="239">
        <v>97</v>
      </c>
      <c r="C128" s="250" t="s">
        <v>430</v>
      </c>
      <c r="D128" s="240" t="s">
        <v>440</v>
      </c>
      <c r="E128" s="240" t="s">
        <v>436</v>
      </c>
      <c r="F128" s="78"/>
      <c r="G128" s="241">
        <v>15</v>
      </c>
      <c r="H128" s="253">
        <v>98.495000000000005</v>
      </c>
      <c r="I128" s="130">
        <f t="shared" si="50"/>
        <v>1477.43</v>
      </c>
      <c r="J128" s="130">
        <f t="shared" si="51"/>
        <v>122.57</v>
      </c>
      <c r="K128" s="182">
        <f t="shared" si="52"/>
        <v>0</v>
      </c>
      <c r="L128" s="182">
        <f t="shared" si="53"/>
        <v>0</v>
      </c>
      <c r="M128" s="130">
        <f t="shared" si="54"/>
        <v>1600</v>
      </c>
      <c r="N128" s="134"/>
      <c r="O128" s="49"/>
    </row>
    <row r="129" spans="1:15" s="88" customFormat="1" ht="30" customHeight="1" x14ac:dyDescent="0.2">
      <c r="A129" s="28"/>
      <c r="B129" s="239">
        <v>98</v>
      </c>
      <c r="C129" s="250" t="s">
        <v>430</v>
      </c>
      <c r="D129" s="240" t="s">
        <v>493</v>
      </c>
      <c r="E129" s="240" t="s">
        <v>494</v>
      </c>
      <c r="F129" s="78"/>
      <c r="G129" s="241">
        <v>15</v>
      </c>
      <c r="H129" s="253">
        <v>91.54</v>
      </c>
      <c r="I129" s="130">
        <f t="shared" ref="I129" si="55">ROUND(G129*H129,2)</f>
        <v>1373.1</v>
      </c>
      <c r="J129" s="130">
        <f t="shared" ref="J129" si="56">IFERROR(IF(ROUND((((I129/G129*30.4)-VLOOKUP((I129/G129*30.4),TARIFA,1))*VLOOKUP((I129/G129*30.4),TARIFA,3)+VLOOKUP((I129/G129*30.4),TARIFA,2)-VLOOKUP((I129/G129*30.4),SUBSIDIO,2))/30.4*G129,2)&lt;0,ROUND(-(((I129/G129*30.4)-VLOOKUP((I129/G129*30.4),TARIFA,1))*VLOOKUP((I129/G129*30.4),TARIFA,3)+VLOOKUP((I129/G129*30.4),TARIFA,2)-VLOOKUP((I129/G129*30.4),SUBSIDIO,2))/30.4*G129,2),0),0)</f>
        <v>129.25</v>
      </c>
      <c r="K129" s="182">
        <f t="shared" ref="K129" si="57">IF(H129&lt;=207.44,0,(IFERROR(IF(ROUND((((I129/G129*30.4)-VLOOKUP((I129/G129*30.4),TARIFA,1))*VLOOKUP((I129/G129*30.4),TARIFA,3)+VLOOKUP((I129/G129*30.4),TARIFA,2)-VLOOKUP((I129/G129*30.4),SUBSIDIO,2))/30.4*G129,2)&gt;0,ROUND((((I129/G129*30.4)-VLOOKUP((I129/G129*30.4),TARIFA,1))*VLOOKUP((I129/G129*30.4),TARIFA,3)+VLOOKUP((I129/G129*30.4),TARIFA,2)-VLOOKUP((I129/G129*30.4),SUBSIDIO,2))/30.4*G129,2),0),0)))</f>
        <v>0</v>
      </c>
      <c r="L129" s="182">
        <f t="shared" ref="L129" si="58">K129</f>
        <v>0</v>
      </c>
      <c r="M129" s="130">
        <f t="shared" ref="M129" si="59">I129+J129-L129</f>
        <v>1502.35</v>
      </c>
      <c r="N129" s="134"/>
      <c r="O129" s="49"/>
    </row>
    <row r="130" spans="1:15" ht="30" customHeight="1" x14ac:dyDescent="0.2">
      <c r="B130" s="239"/>
      <c r="C130" s="250"/>
      <c r="D130" s="240"/>
      <c r="E130" s="252" t="s">
        <v>34</v>
      </c>
      <c r="F130" s="424"/>
      <c r="G130" s="426"/>
      <c r="H130" s="425"/>
      <c r="I130" s="131">
        <f>SUM(I124:I129)</f>
        <v>13124.210000000001</v>
      </c>
      <c r="J130" s="131">
        <f t="shared" ref="J130:M130" si="60">SUM(J124:J129)</f>
        <v>418.34999999999997</v>
      </c>
      <c r="K130" s="131">
        <f t="shared" si="60"/>
        <v>254.37</v>
      </c>
      <c r="L130" s="131">
        <f t="shared" si="60"/>
        <v>254.37</v>
      </c>
      <c r="M130" s="131">
        <f t="shared" si="60"/>
        <v>13288.19</v>
      </c>
      <c r="N130" s="135">
        <f>SUM(N124:N127)</f>
        <v>0</v>
      </c>
      <c r="O130" s="49"/>
    </row>
    <row r="131" spans="1:15" ht="30" customHeight="1" x14ac:dyDescent="0.2">
      <c r="B131" s="416" t="s">
        <v>58</v>
      </c>
      <c r="C131" s="417"/>
      <c r="D131" s="418"/>
      <c r="E131" s="418"/>
      <c r="F131" s="418"/>
      <c r="G131" s="418"/>
      <c r="H131" s="418"/>
      <c r="I131" s="418"/>
      <c r="J131" s="418"/>
      <c r="K131" s="418"/>
      <c r="L131" s="418"/>
      <c r="M131" s="418"/>
      <c r="N131" s="419"/>
      <c r="O131" s="49"/>
    </row>
    <row r="132" spans="1:15" s="4" customFormat="1" ht="30" customHeight="1" x14ac:dyDescent="0.2">
      <c r="B132" s="260">
        <v>99</v>
      </c>
      <c r="C132" s="261"/>
      <c r="D132" s="240" t="s">
        <v>282</v>
      </c>
      <c r="E132" s="258" t="s">
        <v>69</v>
      </c>
      <c r="F132" s="64"/>
      <c r="G132" s="64">
        <v>15</v>
      </c>
      <c r="H132" s="262">
        <v>196</v>
      </c>
      <c r="I132" s="130">
        <f>G132*H132</f>
        <v>2940</v>
      </c>
      <c r="J132" s="182">
        <f>IFERROR(IF(ROUND((((I132/G132*30.4)-VLOOKUP((I132/G132*30.4),TARIFA,1))*VLOOKUP((I132/G132*30.4),TARIFA,3)+VLOOKUP((I132/G132*30.4),TARIFA,2)-VLOOKUP((I132/G132*30.4),SUBSIDIO,2))/30.4*G132,2)&lt;0,ROUND(-(((I132/G132*30.4)-VLOOKUP((I132/G132*30.4),TARIFA,1))*VLOOKUP((I132/G132*30.4),TARIFA,3)+VLOOKUP((I132/G132*30.4),TARIFA,2)-VLOOKUP((I132/G132*30.4),SUBSIDIO,2))/30.4*G132,2),0),0)</f>
        <v>0</v>
      </c>
      <c r="K132" s="182">
        <f>IF(H132&lt;=207.44,0,(IFERROR(IF(ROUND((((I132/G132*30.4)-VLOOKUP((I132/G132*30.4),TARIFA,1))*VLOOKUP((I132/G132*30.4),TARIFA,3)+VLOOKUP((I132/G132*30.4),TARIFA,2)-VLOOKUP((I132/G132*30.4),SUBSIDIO,2))/30.4*G132,2)&gt;0,ROUND((((I132/G132*30.4)-VLOOKUP((I132/G132*30.4),TARIFA,1))*VLOOKUP((I132/G132*30.4),TARIFA,3)+VLOOKUP((I132/G132*30.4),TARIFA,2)-VLOOKUP((I132/G132*30.4),SUBSIDIO,2))/30.4*G132,2),0),0)))</f>
        <v>0</v>
      </c>
      <c r="L132" s="182">
        <f>K132</f>
        <v>0</v>
      </c>
      <c r="M132" s="130">
        <f>I132+J132-L132</f>
        <v>2940</v>
      </c>
      <c r="N132" s="134"/>
      <c r="O132" s="49"/>
    </row>
    <row r="133" spans="1:15" s="4" customFormat="1" ht="30" customHeight="1" x14ac:dyDescent="0.2">
      <c r="B133" s="260">
        <v>100</v>
      </c>
      <c r="C133" s="261"/>
      <c r="D133" s="240" t="s">
        <v>283</v>
      </c>
      <c r="E133" s="258" t="s">
        <v>43</v>
      </c>
      <c r="F133" s="64"/>
      <c r="G133" s="64">
        <v>15</v>
      </c>
      <c r="H133" s="262">
        <v>44.2</v>
      </c>
      <c r="I133" s="130">
        <f>ROUND(G133*H133,2)</f>
        <v>663</v>
      </c>
      <c r="J133" s="130">
        <f>IFERROR(IF(ROUND((((I133/G133*30.4)-VLOOKUP((I133/G133*30.4),TARIFA,1))*VLOOKUP((I133/G133*30.4),TARIFA,3)+VLOOKUP((I133/G133*30.4),TARIFA,2)-VLOOKUP((I133/G133*30.4),SUBSIDIO,2))/30.4*G133,2)&lt;0,ROUND(-(((I133/G133*30.4)-VLOOKUP((I133/G133*30.4),TARIFA,1))*VLOOKUP((I133/G133*30.4),TARIFA,3)+VLOOKUP((I133/G133*30.4),TARIFA,2)-VLOOKUP((I133/G133*30.4),SUBSIDIO,2))/30.4*G133,2),0),0)</f>
        <v>174.89</v>
      </c>
      <c r="K133" s="182">
        <f>IF(H133&lt;=207.44,0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0</v>
      </c>
      <c r="L133" s="182">
        <f>K133</f>
        <v>0</v>
      </c>
      <c r="M133" s="130">
        <f>I133+J133-L133</f>
        <v>837.89</v>
      </c>
      <c r="N133" s="134"/>
      <c r="O133" s="49"/>
    </row>
    <row r="134" spans="1:15" s="86" customFormat="1" ht="30" customHeight="1" x14ac:dyDescent="0.2">
      <c r="A134" s="5"/>
      <c r="B134" s="239">
        <v>101</v>
      </c>
      <c r="C134" s="250" t="s">
        <v>430</v>
      </c>
      <c r="D134" s="258" t="s">
        <v>284</v>
      </c>
      <c r="E134" s="240" t="s">
        <v>99</v>
      </c>
      <c r="F134" s="78"/>
      <c r="G134" s="241">
        <v>15</v>
      </c>
      <c r="H134" s="233">
        <v>266.66660000000002</v>
      </c>
      <c r="I134" s="130">
        <f>ROUND(G134*H134,2)</f>
        <v>4000</v>
      </c>
      <c r="J134" s="182">
        <f>IFERROR(IF(ROUND((((I134/G134*30.4)-VLOOKUP((I134/G134*30.4),TARIFA,1))*VLOOKUP((I134/G134*30.4),TARIFA,3)+VLOOKUP((I134/G134*30.4),TARIFA,2)-VLOOKUP((I134/G134*30.4),SUBSIDIO,2))/30.4*G134,2)&lt;0,ROUND(-(((I134/G134*30.4)-VLOOKUP((I134/G134*30.4),TARIFA,1))*VLOOKUP((I134/G134*30.4),TARIFA,3)+VLOOKUP((I134/G134*30.4),TARIFA,2)-VLOOKUP((I134/G134*30.4),SUBSIDIO,2))/30.4*G134,2),0),0)</f>
        <v>0</v>
      </c>
      <c r="K134" s="130">
        <f>IF(H134&lt;=207.44,0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278.74</v>
      </c>
      <c r="L134" s="130">
        <f>K134</f>
        <v>278.74</v>
      </c>
      <c r="M134" s="130">
        <f>I134+J134-L134</f>
        <v>3721.26</v>
      </c>
      <c r="N134" s="134"/>
      <c r="O134" s="49"/>
    </row>
    <row r="135" spans="1:15" s="86" customFormat="1" ht="30" customHeight="1" x14ac:dyDescent="0.2">
      <c r="A135" s="5"/>
      <c r="B135" s="239">
        <v>102</v>
      </c>
      <c r="C135" s="250" t="s">
        <v>430</v>
      </c>
      <c r="D135" s="258" t="s">
        <v>186</v>
      </c>
      <c r="E135" s="240" t="s">
        <v>55</v>
      </c>
      <c r="F135" s="79"/>
      <c r="G135" s="241">
        <v>15</v>
      </c>
      <c r="H135" s="259">
        <v>91.6</v>
      </c>
      <c r="I135" s="130">
        <f>ROUND(G135*H135,2)</f>
        <v>1374</v>
      </c>
      <c r="J135" s="130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129.19</v>
      </c>
      <c r="K135" s="182">
        <f>IF(H135&lt;=207.44,0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0</v>
      </c>
      <c r="L135" s="182">
        <f>K135</f>
        <v>0</v>
      </c>
      <c r="M135" s="130">
        <f>I135+J135-L135</f>
        <v>1503.19</v>
      </c>
      <c r="N135" s="134"/>
      <c r="O135" s="49"/>
    </row>
    <row r="136" spans="1:15" ht="30" customHeight="1" x14ac:dyDescent="0.2">
      <c r="B136" s="239"/>
      <c r="C136" s="250"/>
      <c r="D136" s="240"/>
      <c r="E136" s="252" t="s">
        <v>34</v>
      </c>
      <c r="F136" s="424"/>
      <c r="G136" s="426"/>
      <c r="H136" s="425"/>
      <c r="I136" s="131">
        <f>SUM(I132:I135)</f>
        <v>8977</v>
      </c>
      <c r="J136" s="131">
        <f t="shared" ref="J136:N136" si="61">SUM(J132:J135)</f>
        <v>304.08</v>
      </c>
      <c r="K136" s="131">
        <f t="shared" si="61"/>
        <v>278.74</v>
      </c>
      <c r="L136" s="131">
        <f t="shared" si="61"/>
        <v>278.74</v>
      </c>
      <c r="M136" s="131">
        <f>SUM(M132:M135)</f>
        <v>9002.34</v>
      </c>
      <c r="N136" s="135">
        <f t="shared" si="61"/>
        <v>0</v>
      </c>
      <c r="O136" s="49"/>
    </row>
    <row r="137" spans="1:15" ht="30" customHeight="1" x14ac:dyDescent="0.2">
      <c r="B137" s="416" t="s">
        <v>76</v>
      </c>
      <c r="C137" s="417"/>
      <c r="D137" s="418"/>
      <c r="E137" s="418"/>
      <c r="F137" s="418"/>
      <c r="G137" s="418"/>
      <c r="H137" s="418"/>
      <c r="I137" s="418"/>
      <c r="J137" s="418"/>
      <c r="K137" s="418"/>
      <c r="L137" s="418"/>
      <c r="M137" s="418"/>
      <c r="N137" s="419"/>
      <c r="O137" s="49"/>
    </row>
    <row r="138" spans="1:15" ht="30" customHeight="1" x14ac:dyDescent="0.2">
      <c r="B138" s="239">
        <v>103</v>
      </c>
      <c r="C138" s="250"/>
      <c r="D138" s="240" t="s">
        <v>285</v>
      </c>
      <c r="E138" s="240" t="s">
        <v>61</v>
      </c>
      <c r="F138" s="78"/>
      <c r="G138" s="241">
        <v>15</v>
      </c>
      <c r="H138" s="233">
        <v>260</v>
      </c>
      <c r="I138" s="130">
        <f>ROUND(G138*H138,2)</f>
        <v>3900</v>
      </c>
      <c r="J138" s="182">
        <f>IFERROR(IF(ROUND((((I138/G138*30.4)-VLOOKUP((I138/G138*30.4),TARIFA,1))*VLOOKUP((I138/G138*30.4),TARIFA,3)+VLOOKUP((I138/G138*30.4),TARIFA,2)-VLOOKUP((I138/G138*30.4),SUBSIDIO,2))/30.4*G138,2)&lt;0,ROUND(-(((I138/G138*30.4)-VLOOKUP((I138/G138*30.4),TARIFA,1))*VLOOKUP((I138/G138*30.4),TARIFA,3)+VLOOKUP((I138/G138*30.4),TARIFA,2)-VLOOKUP((I138/G138*30.4),SUBSIDIO,2))/30.4*G138,2),0),0)</f>
        <v>0</v>
      </c>
      <c r="K138" s="130">
        <f>IF(H138&lt;=207.44,0,(IFERROR(IF(ROUND((((I138/G138*30.4)-VLOOKUP((I138/G138*30.4),TARIFA,1))*VLOOKUP((I138/G138*30.4),TARIFA,3)+VLOOKUP((I138/G138*30.4),TARIFA,2)-VLOOKUP((I138/G138*30.4),SUBSIDIO,2))/30.4*G138,2)&gt;0,ROUND((((I138/G138*30.4)-VLOOKUP((I138/G138*30.4),TARIFA,1))*VLOOKUP((I138/G138*30.4),TARIFA,3)+VLOOKUP((I138/G138*30.4),TARIFA,2)-VLOOKUP((I138/G138*30.4),SUBSIDIO,2))/30.4*G138,2),0),0)))</f>
        <v>267.86</v>
      </c>
      <c r="L138" s="130">
        <f>K138</f>
        <v>267.86</v>
      </c>
      <c r="M138" s="130">
        <f>I138+J138-L138</f>
        <v>3632.14</v>
      </c>
      <c r="N138" s="134"/>
      <c r="O138" s="49"/>
    </row>
    <row r="139" spans="1:15" ht="30" customHeight="1" x14ac:dyDescent="0.2">
      <c r="B139" s="239">
        <v>104</v>
      </c>
      <c r="C139" s="250"/>
      <c r="D139" s="240"/>
      <c r="E139" s="252" t="s">
        <v>34</v>
      </c>
      <c r="F139" s="263"/>
      <c r="G139" s="424"/>
      <c r="H139" s="425"/>
      <c r="I139" s="131">
        <f t="shared" ref="I139:N139" si="62">SUM(I138:I138)</f>
        <v>3900</v>
      </c>
      <c r="J139" s="183">
        <f t="shared" si="62"/>
        <v>0</v>
      </c>
      <c r="K139" s="131">
        <f t="shared" si="62"/>
        <v>267.86</v>
      </c>
      <c r="L139" s="131">
        <f t="shared" si="62"/>
        <v>267.86</v>
      </c>
      <c r="M139" s="131">
        <f t="shared" si="62"/>
        <v>3632.14</v>
      </c>
      <c r="N139" s="135">
        <f t="shared" si="62"/>
        <v>0</v>
      </c>
      <c r="O139" s="49"/>
    </row>
    <row r="140" spans="1:15" ht="30" customHeight="1" x14ac:dyDescent="0.2">
      <c r="B140" s="420" t="s">
        <v>111</v>
      </c>
      <c r="C140" s="421"/>
      <c r="D140" s="422"/>
      <c r="E140" s="422"/>
      <c r="F140" s="422"/>
      <c r="G140" s="422"/>
      <c r="H140" s="422"/>
      <c r="I140" s="422"/>
      <c r="J140" s="422"/>
      <c r="K140" s="422"/>
      <c r="L140" s="422"/>
      <c r="M140" s="422"/>
      <c r="N140" s="423"/>
      <c r="O140" s="49"/>
    </row>
    <row r="141" spans="1:15" s="5" customFormat="1" ht="30" customHeight="1" x14ac:dyDescent="0.2">
      <c r="B141" s="239">
        <v>105</v>
      </c>
      <c r="C141" s="250"/>
      <c r="D141" s="240" t="s">
        <v>286</v>
      </c>
      <c r="E141" s="240" t="s">
        <v>43</v>
      </c>
      <c r="F141" s="78"/>
      <c r="G141" s="241">
        <v>15</v>
      </c>
      <c r="H141" s="253">
        <v>266.66660000000002</v>
      </c>
      <c r="I141" s="130">
        <f>ROUND(G141*H141,2)</f>
        <v>4000</v>
      </c>
      <c r="J141" s="182">
        <f>IFERROR(IF(ROUND((((I141/G141*30.4)-VLOOKUP((I141/G141*30.4),TARIFA,1))*VLOOKUP((I141/G141*30.4),TARIFA,3)+VLOOKUP((I141/G141*30.4),TARIFA,2)-VLOOKUP((I141/G141*30.4),SUBSIDIO,2))/30.4*G141,2)&lt;0,ROUND(-(((I141/G141*30.4)-VLOOKUP((I141/G141*30.4),TARIFA,1))*VLOOKUP((I141/G141*30.4),TARIFA,3)+VLOOKUP((I141/G141*30.4),TARIFA,2)-VLOOKUP((I141/G141*30.4),SUBSIDIO,2))/30.4*G141,2),0),0)</f>
        <v>0</v>
      </c>
      <c r="K141" s="130">
        <f>IF(H141&lt;=207.44,0,(IFERROR(IF(ROUND((((I141/G141*30.4)-VLOOKUP((I141/G141*30.4),TARIFA,1))*VLOOKUP((I141/G141*30.4),TARIFA,3)+VLOOKUP((I141/G141*30.4),TARIFA,2)-VLOOKUP((I141/G141*30.4),SUBSIDIO,2))/30.4*G141,2)&gt;0,ROUND((((I141/G141*30.4)-VLOOKUP((I141/G141*30.4),TARIFA,1))*VLOOKUP((I141/G141*30.4),TARIFA,3)+VLOOKUP((I141/G141*30.4),TARIFA,2)-VLOOKUP((I141/G141*30.4),SUBSIDIO,2))/30.4*G141,2),0),0)))</f>
        <v>278.74</v>
      </c>
      <c r="L141" s="130">
        <f>K141</f>
        <v>278.74</v>
      </c>
      <c r="M141" s="130">
        <f>I141+J141-L141</f>
        <v>3721.26</v>
      </c>
      <c r="N141" s="134"/>
      <c r="O141" s="49"/>
    </row>
    <row r="142" spans="1:15" ht="30" customHeight="1" x14ac:dyDescent="0.2">
      <c r="B142" s="239"/>
      <c r="C142" s="250"/>
      <c r="D142" s="240"/>
      <c r="E142" s="252" t="s">
        <v>34</v>
      </c>
      <c r="F142" s="263"/>
      <c r="G142" s="424"/>
      <c r="H142" s="425"/>
      <c r="I142" s="131">
        <f t="shared" ref="I142:N142" si="63">SUM(I141:I141)</f>
        <v>4000</v>
      </c>
      <c r="J142" s="183">
        <f t="shared" si="63"/>
        <v>0</v>
      </c>
      <c r="K142" s="131">
        <f t="shared" si="63"/>
        <v>278.74</v>
      </c>
      <c r="L142" s="131">
        <f t="shared" si="63"/>
        <v>278.74</v>
      </c>
      <c r="M142" s="131">
        <f t="shared" si="63"/>
        <v>3721.26</v>
      </c>
      <c r="N142" s="135">
        <f t="shared" si="63"/>
        <v>0</v>
      </c>
      <c r="O142" s="49"/>
    </row>
    <row r="143" spans="1:15" ht="30" customHeight="1" x14ac:dyDescent="0.2">
      <c r="B143" s="266"/>
      <c r="C143" s="264"/>
      <c r="D143" s="267"/>
      <c r="E143" s="268"/>
      <c r="F143" s="264"/>
      <c r="G143" s="264"/>
      <c r="H143" s="264"/>
      <c r="I143" s="264"/>
      <c r="J143" s="264"/>
      <c r="K143" s="264"/>
      <c r="L143" s="264"/>
      <c r="M143" s="264"/>
      <c r="N143" s="265"/>
      <c r="O143" s="49"/>
    </row>
    <row r="144" spans="1:15" s="40" customFormat="1" ht="30" customHeight="1" x14ac:dyDescent="0.2">
      <c r="B144" s="428" t="s">
        <v>142</v>
      </c>
      <c r="C144" s="426"/>
      <c r="D144" s="426"/>
      <c r="E144" s="426"/>
      <c r="F144" s="426"/>
      <c r="G144" s="426"/>
      <c r="H144" s="425"/>
      <c r="I144" s="269">
        <f>I16+I19+I25+I33+I40+I58+I64+I76+I80+I88+I105+I122+I130+I136+I139+I142</f>
        <v>240889.27200000003</v>
      </c>
      <c r="J144" s="269">
        <f>J16+J19+J25+J33+J40+J58+J64+J76+J80+J88+J105+J122+J130+J136+J139+J142</f>
        <v>6494.41</v>
      </c>
      <c r="K144" s="269">
        <f>K16+K19+K25+K33+K40+K58+K64+K76+K80+K88+K105+K122+K130+K136+K139+K142</f>
        <v>6587.369999999999</v>
      </c>
      <c r="L144" s="269">
        <f>L16+L19+L25+L33+L40+L58+L64+L76+L80+L88+L105+L122+L130+L136+L139+L142</f>
        <v>6587.369999999999</v>
      </c>
      <c r="M144" s="269">
        <f>M16+M19+M25+M33+M40+M58+M64+M76+M80+M88+M105+M122+M130+M136+M139+M142</f>
        <v>240474.50200000007</v>
      </c>
      <c r="N144" s="269"/>
      <c r="O144" s="57"/>
    </row>
    <row r="145" spans="2:15" s="92" customFormat="1" ht="30" customHeight="1" x14ac:dyDescent="0.2">
      <c r="B145" s="270"/>
      <c r="C145" s="4"/>
      <c r="D145" s="271"/>
      <c r="E145" s="272"/>
      <c r="F145" s="273"/>
      <c r="G145" s="273"/>
      <c r="H145" s="273"/>
      <c r="I145" s="96"/>
      <c r="J145" s="96"/>
      <c r="K145" s="96"/>
      <c r="L145" s="96"/>
      <c r="M145" s="96"/>
      <c r="N145" s="137"/>
      <c r="O145" s="57"/>
    </row>
    <row r="146" spans="2:15" ht="30" customHeight="1" x14ac:dyDescent="0.2">
      <c r="B146" s="270"/>
      <c r="D146" s="271"/>
      <c r="E146" s="272"/>
      <c r="F146" s="273"/>
      <c r="G146" s="273"/>
      <c r="H146" s="273"/>
      <c r="I146" s="96"/>
      <c r="J146" s="96"/>
      <c r="K146" s="96"/>
      <c r="L146" s="96"/>
      <c r="M146" s="96"/>
      <c r="N146" s="137"/>
      <c r="O146" s="49"/>
    </row>
    <row r="147" spans="2:15" ht="31.5" customHeight="1" x14ac:dyDescent="0.2">
      <c r="B147" s="270"/>
      <c r="D147" s="271"/>
      <c r="E147" s="272"/>
      <c r="F147" s="273"/>
      <c r="G147" s="273"/>
      <c r="H147" s="273"/>
      <c r="I147" s="96"/>
      <c r="J147" s="96"/>
      <c r="K147" s="96"/>
      <c r="L147" s="96"/>
      <c r="M147" s="96"/>
      <c r="N147" s="137"/>
      <c r="O147" s="49"/>
    </row>
    <row r="148" spans="2:15" ht="31.5" customHeight="1" x14ac:dyDescent="0.2">
      <c r="B148" s="270"/>
      <c r="D148" s="271"/>
      <c r="E148" s="272"/>
      <c r="F148" s="273"/>
      <c r="G148" s="273"/>
      <c r="H148" s="273"/>
      <c r="I148" s="96"/>
      <c r="J148" s="96"/>
      <c r="K148" s="96"/>
      <c r="L148" s="96"/>
      <c r="M148" s="96"/>
      <c r="N148" s="137"/>
      <c r="O148" s="50"/>
    </row>
    <row r="149" spans="2:15" ht="21.75" customHeight="1" x14ac:dyDescent="0.2">
      <c r="B149" s="274"/>
      <c r="C149" s="62"/>
      <c r="N149" s="138"/>
      <c r="O149" s="49"/>
    </row>
    <row r="150" spans="2:15" ht="21.75" customHeight="1" x14ac:dyDescent="0.2">
      <c r="B150" s="275" t="s">
        <v>365</v>
      </c>
      <c r="C150" s="276"/>
      <c r="D150" s="276"/>
      <c r="E150" s="276"/>
      <c r="K150" s="276" t="s">
        <v>359</v>
      </c>
      <c r="L150" s="276"/>
      <c r="N150" s="138"/>
      <c r="O150" s="49"/>
    </row>
    <row r="151" spans="2:15" ht="21.75" customHeight="1" x14ac:dyDescent="0.2">
      <c r="B151" s="277"/>
      <c r="C151" s="132"/>
      <c r="D151" s="427" t="s">
        <v>358</v>
      </c>
      <c r="E151" s="427"/>
      <c r="F151" s="427"/>
      <c r="K151" s="427" t="s">
        <v>358</v>
      </c>
      <c r="L151" s="427"/>
      <c r="M151" s="427"/>
      <c r="N151" s="138"/>
      <c r="O151" s="49"/>
    </row>
    <row r="152" spans="2:15" ht="21.75" customHeight="1" thickBot="1" x14ac:dyDescent="0.25">
      <c r="B152" s="278"/>
      <c r="C152" s="279"/>
      <c r="D152" s="280"/>
      <c r="E152" s="281"/>
      <c r="F152" s="139"/>
      <c r="G152" s="139"/>
      <c r="H152" s="139"/>
      <c r="I152" s="139"/>
      <c r="J152" s="139"/>
      <c r="K152" s="139"/>
      <c r="L152" s="139"/>
      <c r="M152" s="139"/>
      <c r="N152" s="282"/>
      <c r="O152" s="49"/>
    </row>
    <row r="153" spans="2:15" ht="21.75" customHeight="1" x14ac:dyDescent="0.2">
      <c r="B153" s="97"/>
      <c r="C153" s="97"/>
      <c r="O153" s="31"/>
    </row>
    <row r="154" spans="2:15" ht="18" customHeight="1" x14ac:dyDescent="0.2">
      <c r="B154" s="132"/>
      <c r="C154" s="132"/>
    </row>
    <row r="155" spans="2:15" x14ac:dyDescent="0.2">
      <c r="B155" s="132"/>
      <c r="C155" s="132"/>
      <c r="K155" s="25" t="s">
        <v>95</v>
      </c>
      <c r="L155" s="176">
        <f>M8+M11+M12+M13+M14+M24+M29+M31+M36+M39+M42+M43+M45+M46+M47+M48+M50+M52+M53+M55+M57+M60+M61+M62+M63+M66+M67+M68+M72+M73+M74+M75+M79+M83+M84+M85+M87+M92+M98+M100+M103+M104+M108+M112+M113+M114+M116+M118+M119+M121+M124+M125+M127+M128+M134+M135+M9+M54+M56+M129+M10</f>
        <v>147733.89200000005</v>
      </c>
    </row>
    <row r="156" spans="2:15" x14ac:dyDescent="0.2">
      <c r="B156" s="132"/>
      <c r="C156" s="132"/>
      <c r="K156" s="25" t="s">
        <v>96</v>
      </c>
      <c r="L156" s="176">
        <f>M15+M18+M21+M22+M23+M27+M28+M30+M32+M35+M37+M38+M44+M49+M51+M70+M71+M78+M82+M86+M90+M91+M93+M94+M95+M96+M97+M99+M101+M102+M107+M109+M110+M111+M115+M117+M120+M126+M132+M133+M138+M141+M69</f>
        <v>92740.61</v>
      </c>
    </row>
    <row r="157" spans="2:15" x14ac:dyDescent="0.2">
      <c r="B157" s="132"/>
      <c r="C157" s="132"/>
      <c r="L157" s="176">
        <f>SUM(L155:L156)</f>
        <v>240474.50200000004</v>
      </c>
    </row>
    <row r="158" spans="2:15" x14ac:dyDescent="0.2">
      <c r="B158" s="132"/>
      <c r="C158" s="132"/>
    </row>
    <row r="159" spans="2:15" x14ac:dyDescent="0.2">
      <c r="B159" s="132"/>
      <c r="C159" s="132"/>
      <c r="K159" s="25" t="s">
        <v>369</v>
      </c>
      <c r="L159" s="177">
        <f>L157-M144</f>
        <v>0</v>
      </c>
    </row>
    <row r="160" spans="2:15" x14ac:dyDescent="0.2">
      <c r="B160" s="132"/>
      <c r="C160" s="132"/>
    </row>
  </sheetData>
  <mergeCells count="38">
    <mergeCell ref="F88:H88"/>
    <mergeCell ref="B65:N65"/>
    <mergeCell ref="E2:K2"/>
    <mergeCell ref="E5:K5"/>
    <mergeCell ref="L5:N5"/>
    <mergeCell ref="D6:J6"/>
    <mergeCell ref="F16:H16"/>
    <mergeCell ref="B17:N17"/>
    <mergeCell ref="B20:N20"/>
    <mergeCell ref="B81:N81"/>
    <mergeCell ref="B41:N41"/>
    <mergeCell ref="D151:F151"/>
    <mergeCell ref="K151:M151"/>
    <mergeCell ref="F19:H19"/>
    <mergeCell ref="B144:H144"/>
    <mergeCell ref="B59:N59"/>
    <mergeCell ref="F58:H58"/>
    <mergeCell ref="F25:H25"/>
    <mergeCell ref="F33:H33"/>
    <mergeCell ref="G142:H142"/>
    <mergeCell ref="F64:H64"/>
    <mergeCell ref="F76:H76"/>
    <mergeCell ref="F80:H80"/>
    <mergeCell ref="B26:N26"/>
    <mergeCell ref="F40:H40"/>
    <mergeCell ref="B34:N34"/>
    <mergeCell ref="B77:N77"/>
    <mergeCell ref="B89:N89"/>
    <mergeCell ref="B140:N140"/>
    <mergeCell ref="B137:N137"/>
    <mergeCell ref="G139:H139"/>
    <mergeCell ref="B106:N106"/>
    <mergeCell ref="F105:H105"/>
    <mergeCell ref="F122:H122"/>
    <mergeCell ref="F130:H130"/>
    <mergeCell ref="F136:H136"/>
    <mergeCell ref="B123:N123"/>
    <mergeCell ref="B131:N131"/>
  </mergeCells>
  <pageMargins left="0.7" right="0.7" top="0.75" bottom="0.75" header="0.3" footer="0.3"/>
  <pageSetup scale="61" fitToHeight="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2"/>
  <sheetViews>
    <sheetView showGridLines="0" topLeftCell="B1" zoomScale="70" zoomScaleNormal="70" workbookViewId="0">
      <selection activeCell="F16" sqref="F16:F22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2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222" customWidth="1"/>
    <col min="37" max="37" width="56.42578125" style="5" customWidth="1"/>
    <col min="38" max="38" width="12.28515625" style="211" bestFit="1" customWidth="1"/>
    <col min="39" max="39" width="15.140625" style="209" customWidth="1"/>
    <col min="40" max="16384" width="11.42578125" style="5"/>
  </cols>
  <sheetData>
    <row r="3" spans="1:41" x14ac:dyDescent="0.2">
      <c r="B3" s="39"/>
      <c r="C3" s="39"/>
      <c r="D3" s="6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207"/>
      <c r="AK3" s="39"/>
      <c r="AL3" s="208"/>
    </row>
    <row r="4" spans="1:41" x14ac:dyDescent="0.2">
      <c r="B4" s="39"/>
      <c r="C4" s="39"/>
      <c r="D4" s="6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207"/>
      <c r="AK4" s="39"/>
      <c r="AL4" s="208"/>
    </row>
    <row r="5" spans="1:41" x14ac:dyDescent="0.2">
      <c r="B5" s="39"/>
      <c r="C5" s="39"/>
      <c r="D5" s="6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207"/>
      <c r="AK5" s="39"/>
      <c r="AL5" s="208"/>
    </row>
    <row r="6" spans="1:41" x14ac:dyDescent="0.2">
      <c r="B6" s="39"/>
      <c r="C6" s="39"/>
      <c r="D6" s="6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07"/>
      <c r="AK6" s="39"/>
      <c r="AL6" s="208"/>
    </row>
    <row r="7" spans="1:41" x14ac:dyDescent="0.2">
      <c r="B7" s="39"/>
      <c r="C7" s="39"/>
      <c r="D7" s="6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207"/>
      <c r="AK7" s="39"/>
      <c r="AL7" s="208"/>
    </row>
    <row r="8" spans="1:41" x14ac:dyDescent="0.2">
      <c r="B8" s="39"/>
      <c r="C8" s="39"/>
      <c r="D8" s="6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207"/>
      <c r="AK8" s="39"/>
      <c r="AL8" s="208"/>
    </row>
    <row r="9" spans="1:41" ht="30" customHeight="1" x14ac:dyDescent="0.2">
      <c r="B9" s="39"/>
      <c r="C9" s="39"/>
      <c r="D9" s="69"/>
      <c r="E9" s="39"/>
      <c r="F9" s="39"/>
      <c r="G9" s="62" t="s">
        <v>30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207"/>
      <c r="AK9" s="39"/>
      <c r="AL9" s="208"/>
      <c r="AN9" s="86"/>
      <c r="AO9" s="5" t="s">
        <v>389</v>
      </c>
    </row>
    <row r="10" spans="1:41" x14ac:dyDescent="0.2">
      <c r="B10" s="39"/>
      <c r="C10" s="39"/>
      <c r="D10" s="6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207"/>
      <c r="AK10" s="39"/>
      <c r="AL10" s="208"/>
      <c r="AN10" s="210"/>
      <c r="AO10" s="5" t="s">
        <v>390</v>
      </c>
    </row>
    <row r="11" spans="1:41" s="29" customFormat="1" ht="15" x14ac:dyDescent="0.2">
      <c r="A11" s="5"/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39"/>
      <c r="AL11" s="208"/>
      <c r="AM11" s="211"/>
    </row>
    <row r="12" spans="1:41" s="29" customFormat="1" ht="15" x14ac:dyDescent="0.2">
      <c r="A12" s="5"/>
      <c r="B12" s="431" t="s">
        <v>497</v>
      </c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39"/>
      <c r="AL12" s="208"/>
      <c r="AM12" s="211"/>
    </row>
    <row r="13" spans="1:41" s="29" customFormat="1" ht="28.5" customHeight="1" x14ac:dyDescent="0.2">
      <c r="A13" s="5"/>
      <c r="B13" s="38"/>
      <c r="C13" s="38"/>
      <c r="D13" s="70"/>
      <c r="E13" s="38"/>
      <c r="F13" s="38"/>
      <c r="G13" s="37" t="s">
        <v>147</v>
      </c>
      <c r="H13" s="37" t="s">
        <v>1</v>
      </c>
      <c r="I13" s="389" t="s">
        <v>0</v>
      </c>
      <c r="J13" s="389"/>
      <c r="K13" s="389"/>
      <c r="L13" s="389"/>
      <c r="M13" s="389"/>
      <c r="N13" s="389"/>
      <c r="O13" s="389"/>
      <c r="P13" s="389"/>
      <c r="Q13" s="37"/>
      <c r="R13" s="37" t="s">
        <v>391</v>
      </c>
      <c r="S13" s="37"/>
      <c r="T13" s="432" t="s">
        <v>392</v>
      </c>
      <c r="U13" s="432"/>
      <c r="V13" s="432"/>
      <c r="W13" s="432"/>
      <c r="X13" s="432"/>
      <c r="Y13" s="432"/>
      <c r="Z13" s="37" t="s">
        <v>393</v>
      </c>
      <c r="AA13" s="37" t="s">
        <v>3</v>
      </c>
      <c r="AB13" s="37"/>
      <c r="AC13" s="433" t="s">
        <v>394</v>
      </c>
      <c r="AD13" s="432" t="s">
        <v>395</v>
      </c>
      <c r="AE13" s="432"/>
      <c r="AF13" s="432"/>
      <c r="AG13" s="432"/>
      <c r="AH13" s="432"/>
      <c r="AI13" s="432"/>
      <c r="AJ13" s="434" t="s">
        <v>388</v>
      </c>
      <c r="AK13" s="38"/>
      <c r="AL13" s="208"/>
      <c r="AM13" s="211"/>
    </row>
    <row r="14" spans="1:41" s="29" customFormat="1" x14ac:dyDescent="0.2">
      <c r="A14" s="5"/>
      <c r="B14" s="37" t="s">
        <v>148</v>
      </c>
      <c r="C14" s="37" t="s">
        <v>430</v>
      </c>
      <c r="D14" s="80" t="s">
        <v>14</v>
      </c>
      <c r="E14" s="37" t="s">
        <v>28</v>
      </c>
      <c r="F14" s="37" t="s">
        <v>103</v>
      </c>
      <c r="G14" s="43" t="s">
        <v>15</v>
      </c>
      <c r="H14" s="37" t="s">
        <v>16</v>
      </c>
      <c r="I14" s="433" t="s">
        <v>97</v>
      </c>
      <c r="J14" s="37" t="s">
        <v>396</v>
      </c>
      <c r="K14" s="37" t="s">
        <v>396</v>
      </c>
      <c r="L14" s="37" t="s">
        <v>397</v>
      </c>
      <c r="M14" s="37" t="s">
        <v>391</v>
      </c>
      <c r="N14" s="37" t="s">
        <v>398</v>
      </c>
      <c r="O14" s="433" t="s">
        <v>399</v>
      </c>
      <c r="P14" s="433" t="s">
        <v>150</v>
      </c>
      <c r="Q14" s="37"/>
      <c r="R14" s="37" t="s">
        <v>400</v>
      </c>
      <c r="S14" s="37" t="s">
        <v>401</v>
      </c>
      <c r="T14" s="37" t="s">
        <v>5</v>
      </c>
      <c r="U14" s="37" t="s">
        <v>402</v>
      </c>
      <c r="V14" s="37" t="s">
        <v>403</v>
      </c>
      <c r="W14" s="37" t="s">
        <v>404</v>
      </c>
      <c r="X14" s="37" t="s">
        <v>7</v>
      </c>
      <c r="Y14" s="37" t="s">
        <v>3</v>
      </c>
      <c r="Z14" s="37" t="s">
        <v>405</v>
      </c>
      <c r="AA14" s="37" t="s">
        <v>406</v>
      </c>
      <c r="AB14" s="37"/>
      <c r="AC14" s="433"/>
      <c r="AD14" s="37" t="s">
        <v>407</v>
      </c>
      <c r="AE14" s="37" t="s">
        <v>408</v>
      </c>
      <c r="AF14" s="37" t="s">
        <v>393</v>
      </c>
      <c r="AG14" s="37" t="s">
        <v>409</v>
      </c>
      <c r="AH14" s="180" t="s">
        <v>410</v>
      </c>
      <c r="AI14" s="433" t="s">
        <v>411</v>
      </c>
      <c r="AJ14" s="434"/>
      <c r="AK14" s="38"/>
      <c r="AL14" s="208"/>
      <c r="AM14" s="211"/>
    </row>
    <row r="15" spans="1:41" s="29" customFormat="1" ht="16.5" customHeight="1" x14ac:dyDescent="0.2">
      <c r="A15" s="5"/>
      <c r="B15" s="37"/>
      <c r="C15" s="37"/>
      <c r="D15" s="80"/>
      <c r="E15" s="37"/>
      <c r="F15" s="37"/>
      <c r="G15" s="37"/>
      <c r="H15" s="37"/>
      <c r="I15" s="433"/>
      <c r="J15" s="37" t="s">
        <v>412</v>
      </c>
      <c r="K15" s="37" t="s">
        <v>413</v>
      </c>
      <c r="L15" s="37"/>
      <c r="M15" s="37" t="s">
        <v>400</v>
      </c>
      <c r="N15" s="37" t="s">
        <v>414</v>
      </c>
      <c r="O15" s="433"/>
      <c r="P15" s="433"/>
      <c r="Q15" s="37"/>
      <c r="R15" s="37" t="s">
        <v>415</v>
      </c>
      <c r="S15" s="37" t="s">
        <v>416</v>
      </c>
      <c r="T15" s="37" t="s">
        <v>6</v>
      </c>
      <c r="U15" s="37" t="s">
        <v>417</v>
      </c>
      <c r="V15" s="37" t="s">
        <v>417</v>
      </c>
      <c r="W15" s="37" t="s">
        <v>418</v>
      </c>
      <c r="X15" s="37" t="s">
        <v>8</v>
      </c>
      <c r="Y15" s="37" t="s">
        <v>419</v>
      </c>
      <c r="Z15" s="37" t="s">
        <v>12</v>
      </c>
      <c r="AA15" s="37" t="s">
        <v>420</v>
      </c>
      <c r="AB15" s="37"/>
      <c r="AC15" s="433"/>
      <c r="AD15" s="37"/>
      <c r="AE15" s="37"/>
      <c r="AF15" s="37" t="s">
        <v>421</v>
      </c>
      <c r="AG15" s="37" t="s">
        <v>422</v>
      </c>
      <c r="AH15" s="37"/>
      <c r="AI15" s="433"/>
      <c r="AJ15" s="434"/>
      <c r="AK15" s="37" t="s">
        <v>385</v>
      </c>
      <c r="AL15" s="208"/>
      <c r="AM15" s="211"/>
    </row>
    <row r="16" spans="1:41" s="29" customFormat="1" ht="43.5" customHeight="1" x14ac:dyDescent="0.2">
      <c r="A16" s="5"/>
      <c r="B16" s="38">
        <v>1</v>
      </c>
      <c r="C16" s="38" t="s">
        <v>430</v>
      </c>
      <c r="D16" s="283" t="s">
        <v>32</v>
      </c>
      <c r="E16" s="284" t="s">
        <v>31</v>
      </c>
      <c r="F16" s="284"/>
      <c r="G16" s="284">
        <v>15</v>
      </c>
      <c r="H16" s="285">
        <v>98.14</v>
      </c>
      <c r="I16" s="205">
        <v>1531</v>
      </c>
      <c r="J16" s="286">
        <v>0</v>
      </c>
      <c r="K16" s="286">
        <f t="shared" ref="K16:K22" si="0">J16</f>
        <v>0</v>
      </c>
      <c r="L16" s="286">
        <v>0</v>
      </c>
      <c r="M16" s="286">
        <v>0</v>
      </c>
      <c r="N16" s="286">
        <v>0</v>
      </c>
      <c r="O16" s="286">
        <v>0</v>
      </c>
      <c r="P16" s="205">
        <f t="shared" ref="P16:P22" si="1">SUM(I16:O16)</f>
        <v>1531</v>
      </c>
      <c r="Q16" s="287"/>
      <c r="R16" s="205">
        <f t="shared" ref="R16:R22" si="2">IF(H16=47.16,0,IF(H16&gt;47.16,M16*0.5,0))</f>
        <v>0</v>
      </c>
      <c r="S16" s="205">
        <f t="shared" ref="S16:S22" si="3">I16+J16+K16+N16+R16+L16</f>
        <v>1531</v>
      </c>
      <c r="T16" s="205">
        <f t="shared" ref="T16:T22" si="4">VLOOKUP(S16,TARIFA1,1)</f>
        <v>318.01</v>
      </c>
      <c r="U16" s="205">
        <f t="shared" ref="U16:U22" si="5">S16-T16</f>
        <v>1212.99</v>
      </c>
      <c r="V16" s="288">
        <f t="shared" ref="V16:V22" si="6">VLOOKUP(S16,TARIFA1,3)</f>
        <v>6.4000000000000001E-2</v>
      </c>
      <c r="W16" s="205">
        <f t="shared" ref="W16:W22" si="7">U16*V16</f>
        <v>77.631360000000001</v>
      </c>
      <c r="X16" s="205">
        <f t="shared" ref="X16:X22" si="8">VLOOKUP(S16,TARIFA1,2)</f>
        <v>6.15</v>
      </c>
      <c r="Y16" s="205">
        <f t="shared" ref="Y16:Y22" si="9">W16+X16</f>
        <v>83.781360000000006</v>
      </c>
      <c r="Z16" s="205">
        <f t="shared" ref="Z16:Z22" si="10">VLOOKUP(S16,Credito1,2)</f>
        <v>200.7</v>
      </c>
      <c r="AA16" s="205">
        <f t="shared" ref="AA16:AA22" si="11">Y16-Z16</f>
        <v>-116.91863999999998</v>
      </c>
      <c r="AB16" s="289"/>
      <c r="AC16" s="205">
        <v>0</v>
      </c>
      <c r="AD16" s="205">
        <f t="shared" ref="AD16:AD22" si="12">IF(AA16&lt;0,0,AA16)</f>
        <v>0</v>
      </c>
      <c r="AE16" s="205">
        <v>0</v>
      </c>
      <c r="AF16" s="286">
        <v>0</v>
      </c>
      <c r="AG16" s="286">
        <v>0</v>
      </c>
      <c r="AH16" s="290">
        <v>0</v>
      </c>
      <c r="AI16" s="205">
        <f t="shared" ref="AI16:AI22" si="13">SUM(AD16:AH16)</f>
        <v>0</v>
      </c>
      <c r="AJ16" s="291">
        <f t="shared" ref="AJ16:AJ22" si="14">P16+AC16-AI16</f>
        <v>1531</v>
      </c>
      <c r="AK16" s="205"/>
      <c r="AL16" s="51"/>
      <c r="AM16" s="212"/>
      <c r="AN16" s="213"/>
    </row>
    <row r="17" spans="1:40" s="29" customFormat="1" ht="43.5" customHeight="1" x14ac:dyDescent="0.2">
      <c r="A17" s="5"/>
      <c r="B17" s="38">
        <v>2</v>
      </c>
      <c r="C17" s="38" t="s">
        <v>430</v>
      </c>
      <c r="D17" s="283" t="s">
        <v>305</v>
      </c>
      <c r="E17" s="284" t="s">
        <v>31</v>
      </c>
      <c r="F17" s="284"/>
      <c r="G17" s="284">
        <v>15</v>
      </c>
      <c r="H17" s="285">
        <v>98.14</v>
      </c>
      <c r="I17" s="205">
        <v>1531</v>
      </c>
      <c r="J17" s="286">
        <v>0</v>
      </c>
      <c r="K17" s="286">
        <f t="shared" si="0"/>
        <v>0</v>
      </c>
      <c r="L17" s="286">
        <v>0</v>
      </c>
      <c r="M17" s="286">
        <v>0</v>
      </c>
      <c r="N17" s="286">
        <v>0</v>
      </c>
      <c r="O17" s="286">
        <v>0</v>
      </c>
      <c r="P17" s="205">
        <f t="shared" si="1"/>
        <v>1531</v>
      </c>
      <c r="Q17" s="287"/>
      <c r="R17" s="205">
        <f t="shared" si="2"/>
        <v>0</v>
      </c>
      <c r="S17" s="205">
        <f t="shared" si="3"/>
        <v>1531</v>
      </c>
      <c r="T17" s="205">
        <f t="shared" si="4"/>
        <v>318.01</v>
      </c>
      <c r="U17" s="205">
        <f t="shared" si="5"/>
        <v>1212.99</v>
      </c>
      <c r="V17" s="288">
        <f t="shared" si="6"/>
        <v>6.4000000000000001E-2</v>
      </c>
      <c r="W17" s="205">
        <f t="shared" si="7"/>
        <v>77.631360000000001</v>
      </c>
      <c r="X17" s="205">
        <f t="shared" si="8"/>
        <v>6.15</v>
      </c>
      <c r="Y17" s="205">
        <f t="shared" si="9"/>
        <v>83.781360000000006</v>
      </c>
      <c r="Z17" s="205">
        <f t="shared" si="10"/>
        <v>200.7</v>
      </c>
      <c r="AA17" s="205">
        <f t="shared" si="11"/>
        <v>-116.91863999999998</v>
      </c>
      <c r="AB17" s="289"/>
      <c r="AC17" s="205">
        <v>0</v>
      </c>
      <c r="AD17" s="205">
        <f t="shared" si="12"/>
        <v>0</v>
      </c>
      <c r="AE17" s="205">
        <v>0</v>
      </c>
      <c r="AF17" s="286">
        <v>0</v>
      </c>
      <c r="AG17" s="286">
        <v>0</v>
      </c>
      <c r="AH17" s="290">
        <v>0</v>
      </c>
      <c r="AI17" s="205">
        <f t="shared" si="13"/>
        <v>0</v>
      </c>
      <c r="AJ17" s="291">
        <f t="shared" si="14"/>
        <v>1531</v>
      </c>
      <c r="AK17" s="205"/>
      <c r="AL17" s="51"/>
      <c r="AM17" s="212"/>
      <c r="AN17" s="213"/>
    </row>
    <row r="18" spans="1:40" s="29" customFormat="1" ht="43.5" customHeight="1" x14ac:dyDescent="0.2">
      <c r="A18" s="5"/>
      <c r="B18" s="38">
        <v>3</v>
      </c>
      <c r="C18" s="38" t="s">
        <v>430</v>
      </c>
      <c r="D18" s="283" t="s">
        <v>77</v>
      </c>
      <c r="E18" s="284" t="s">
        <v>31</v>
      </c>
      <c r="F18" s="284"/>
      <c r="G18" s="284">
        <v>15</v>
      </c>
      <c r="H18" s="285">
        <v>1010</v>
      </c>
      <c r="I18" s="205">
        <v>1531</v>
      </c>
      <c r="J18" s="286">
        <v>0</v>
      </c>
      <c r="K18" s="286">
        <f t="shared" si="0"/>
        <v>0</v>
      </c>
      <c r="L18" s="286">
        <v>0</v>
      </c>
      <c r="M18" s="286">
        <v>0</v>
      </c>
      <c r="N18" s="286">
        <v>0</v>
      </c>
      <c r="O18" s="286">
        <v>0</v>
      </c>
      <c r="P18" s="205">
        <f t="shared" si="1"/>
        <v>1531</v>
      </c>
      <c r="Q18" s="287"/>
      <c r="R18" s="205">
        <f t="shared" si="2"/>
        <v>0</v>
      </c>
      <c r="S18" s="205">
        <f t="shared" si="3"/>
        <v>1531</v>
      </c>
      <c r="T18" s="205">
        <f t="shared" si="4"/>
        <v>318.01</v>
      </c>
      <c r="U18" s="205">
        <f t="shared" si="5"/>
        <v>1212.99</v>
      </c>
      <c r="V18" s="288">
        <f t="shared" si="6"/>
        <v>6.4000000000000001E-2</v>
      </c>
      <c r="W18" s="205">
        <f t="shared" si="7"/>
        <v>77.631360000000001</v>
      </c>
      <c r="X18" s="205">
        <f t="shared" si="8"/>
        <v>6.15</v>
      </c>
      <c r="Y18" s="205">
        <f t="shared" si="9"/>
        <v>83.781360000000006</v>
      </c>
      <c r="Z18" s="205">
        <f t="shared" si="10"/>
        <v>200.7</v>
      </c>
      <c r="AA18" s="205">
        <f t="shared" si="11"/>
        <v>-116.91863999999998</v>
      </c>
      <c r="AB18" s="289"/>
      <c r="AC18" s="205">
        <v>0</v>
      </c>
      <c r="AD18" s="205">
        <f t="shared" si="12"/>
        <v>0</v>
      </c>
      <c r="AE18" s="205">
        <v>0</v>
      </c>
      <c r="AF18" s="286">
        <v>0</v>
      </c>
      <c r="AG18" s="286">
        <v>0</v>
      </c>
      <c r="AH18" s="290">
        <v>0</v>
      </c>
      <c r="AI18" s="205">
        <f t="shared" si="13"/>
        <v>0</v>
      </c>
      <c r="AJ18" s="291">
        <f t="shared" si="14"/>
        <v>1531</v>
      </c>
      <c r="AK18" s="205"/>
      <c r="AL18" s="208"/>
      <c r="AM18" s="211"/>
    </row>
    <row r="19" spans="1:40" s="29" customFormat="1" ht="43.5" customHeight="1" x14ac:dyDescent="0.2">
      <c r="A19" s="5"/>
      <c r="B19" s="38">
        <v>4</v>
      </c>
      <c r="C19" s="38" t="s">
        <v>430</v>
      </c>
      <c r="D19" s="283" t="s">
        <v>33</v>
      </c>
      <c r="E19" s="284" t="s">
        <v>31</v>
      </c>
      <c r="F19" s="284"/>
      <c r="G19" s="284">
        <v>15</v>
      </c>
      <c r="H19" s="285">
        <v>98.14</v>
      </c>
      <c r="I19" s="205">
        <v>1531</v>
      </c>
      <c r="J19" s="286">
        <v>0</v>
      </c>
      <c r="K19" s="286">
        <f t="shared" si="0"/>
        <v>0</v>
      </c>
      <c r="L19" s="286">
        <v>0</v>
      </c>
      <c r="M19" s="286">
        <v>0</v>
      </c>
      <c r="N19" s="286">
        <v>0</v>
      </c>
      <c r="O19" s="286">
        <v>0</v>
      </c>
      <c r="P19" s="205">
        <f t="shared" si="1"/>
        <v>1531</v>
      </c>
      <c r="Q19" s="287"/>
      <c r="R19" s="205">
        <f t="shared" si="2"/>
        <v>0</v>
      </c>
      <c r="S19" s="205">
        <f t="shared" si="3"/>
        <v>1531</v>
      </c>
      <c r="T19" s="205">
        <f t="shared" si="4"/>
        <v>318.01</v>
      </c>
      <c r="U19" s="205">
        <f t="shared" si="5"/>
        <v>1212.99</v>
      </c>
      <c r="V19" s="288">
        <f t="shared" si="6"/>
        <v>6.4000000000000001E-2</v>
      </c>
      <c r="W19" s="205">
        <f t="shared" si="7"/>
        <v>77.631360000000001</v>
      </c>
      <c r="X19" s="205">
        <f t="shared" si="8"/>
        <v>6.15</v>
      </c>
      <c r="Y19" s="205">
        <f t="shared" si="9"/>
        <v>83.781360000000006</v>
      </c>
      <c r="Z19" s="205">
        <f t="shared" si="10"/>
        <v>200.7</v>
      </c>
      <c r="AA19" s="205">
        <f t="shared" si="11"/>
        <v>-116.91863999999998</v>
      </c>
      <c r="AB19" s="289"/>
      <c r="AC19" s="205">
        <v>0</v>
      </c>
      <c r="AD19" s="205">
        <f t="shared" si="12"/>
        <v>0</v>
      </c>
      <c r="AE19" s="205">
        <v>0</v>
      </c>
      <c r="AF19" s="286">
        <v>0</v>
      </c>
      <c r="AG19" s="286">
        <v>0</v>
      </c>
      <c r="AH19" s="290">
        <v>0</v>
      </c>
      <c r="AI19" s="205">
        <f t="shared" si="13"/>
        <v>0</v>
      </c>
      <c r="AJ19" s="291">
        <f t="shared" si="14"/>
        <v>1531</v>
      </c>
      <c r="AK19" s="205"/>
      <c r="AL19" s="208"/>
      <c r="AM19" s="211"/>
    </row>
    <row r="20" spans="1:40" s="29" customFormat="1" ht="43.5" customHeight="1" x14ac:dyDescent="0.2">
      <c r="A20" s="5"/>
      <c r="B20" s="38">
        <v>5</v>
      </c>
      <c r="C20" s="38" t="s">
        <v>430</v>
      </c>
      <c r="D20" s="283" t="s">
        <v>88</v>
      </c>
      <c r="E20" s="284" t="s">
        <v>31</v>
      </c>
      <c r="F20" s="284"/>
      <c r="G20" s="284">
        <v>15</v>
      </c>
      <c r="H20" s="285">
        <v>98.14</v>
      </c>
      <c r="I20" s="205">
        <v>1531</v>
      </c>
      <c r="J20" s="286">
        <v>0</v>
      </c>
      <c r="K20" s="286">
        <f t="shared" si="0"/>
        <v>0</v>
      </c>
      <c r="L20" s="286">
        <v>0</v>
      </c>
      <c r="M20" s="286">
        <v>0</v>
      </c>
      <c r="N20" s="286">
        <v>0</v>
      </c>
      <c r="O20" s="286">
        <v>0</v>
      </c>
      <c r="P20" s="205">
        <f t="shared" si="1"/>
        <v>1531</v>
      </c>
      <c r="Q20" s="287"/>
      <c r="R20" s="205">
        <f t="shared" si="2"/>
        <v>0</v>
      </c>
      <c r="S20" s="205">
        <f t="shared" si="3"/>
        <v>1531</v>
      </c>
      <c r="T20" s="205">
        <f t="shared" si="4"/>
        <v>318.01</v>
      </c>
      <c r="U20" s="205">
        <f t="shared" si="5"/>
        <v>1212.99</v>
      </c>
      <c r="V20" s="288">
        <f t="shared" si="6"/>
        <v>6.4000000000000001E-2</v>
      </c>
      <c r="W20" s="205">
        <f t="shared" si="7"/>
        <v>77.631360000000001</v>
      </c>
      <c r="X20" s="205">
        <f t="shared" si="8"/>
        <v>6.15</v>
      </c>
      <c r="Y20" s="205">
        <f t="shared" si="9"/>
        <v>83.781360000000006</v>
      </c>
      <c r="Z20" s="205">
        <f t="shared" si="10"/>
        <v>200.7</v>
      </c>
      <c r="AA20" s="205">
        <f t="shared" si="11"/>
        <v>-116.91863999999998</v>
      </c>
      <c r="AB20" s="289"/>
      <c r="AC20" s="205">
        <v>0</v>
      </c>
      <c r="AD20" s="205">
        <f t="shared" si="12"/>
        <v>0</v>
      </c>
      <c r="AE20" s="205">
        <v>0</v>
      </c>
      <c r="AF20" s="286">
        <v>0</v>
      </c>
      <c r="AG20" s="286">
        <v>0</v>
      </c>
      <c r="AH20" s="290">
        <v>0</v>
      </c>
      <c r="AI20" s="205">
        <f t="shared" si="13"/>
        <v>0</v>
      </c>
      <c r="AJ20" s="291">
        <f t="shared" si="14"/>
        <v>1531</v>
      </c>
      <c r="AK20" s="205"/>
      <c r="AL20" s="208"/>
      <c r="AM20" s="211"/>
    </row>
    <row r="21" spans="1:40" s="29" customFormat="1" ht="43.5" customHeight="1" x14ac:dyDescent="0.2">
      <c r="A21" s="5"/>
      <c r="B21" s="38">
        <v>6</v>
      </c>
      <c r="C21" s="38" t="s">
        <v>430</v>
      </c>
      <c r="D21" s="283" t="s">
        <v>183</v>
      </c>
      <c r="E21" s="284" t="s">
        <v>31</v>
      </c>
      <c r="F21" s="284"/>
      <c r="G21" s="284">
        <v>15</v>
      </c>
      <c r="H21" s="285">
        <v>98.14</v>
      </c>
      <c r="I21" s="205">
        <v>1531</v>
      </c>
      <c r="J21" s="286">
        <v>0</v>
      </c>
      <c r="K21" s="286">
        <f t="shared" si="0"/>
        <v>0</v>
      </c>
      <c r="L21" s="286">
        <v>0</v>
      </c>
      <c r="M21" s="286">
        <v>0</v>
      </c>
      <c r="N21" s="286">
        <v>0</v>
      </c>
      <c r="O21" s="286">
        <v>0</v>
      </c>
      <c r="P21" s="205">
        <f t="shared" si="1"/>
        <v>1531</v>
      </c>
      <c r="Q21" s="287"/>
      <c r="R21" s="205">
        <f t="shared" si="2"/>
        <v>0</v>
      </c>
      <c r="S21" s="205">
        <f t="shared" si="3"/>
        <v>1531</v>
      </c>
      <c r="T21" s="205">
        <f t="shared" si="4"/>
        <v>318.01</v>
      </c>
      <c r="U21" s="205">
        <f t="shared" si="5"/>
        <v>1212.99</v>
      </c>
      <c r="V21" s="288">
        <f t="shared" si="6"/>
        <v>6.4000000000000001E-2</v>
      </c>
      <c r="W21" s="205">
        <f t="shared" si="7"/>
        <v>77.631360000000001</v>
      </c>
      <c r="X21" s="205">
        <f t="shared" si="8"/>
        <v>6.15</v>
      </c>
      <c r="Y21" s="205">
        <f t="shared" si="9"/>
        <v>83.781360000000006</v>
      </c>
      <c r="Z21" s="205">
        <f t="shared" si="10"/>
        <v>200.7</v>
      </c>
      <c r="AA21" s="205">
        <f t="shared" si="11"/>
        <v>-116.91863999999998</v>
      </c>
      <c r="AB21" s="289"/>
      <c r="AC21" s="205">
        <v>0</v>
      </c>
      <c r="AD21" s="205">
        <f t="shared" si="12"/>
        <v>0</v>
      </c>
      <c r="AE21" s="205">
        <v>0</v>
      </c>
      <c r="AF21" s="286">
        <v>0</v>
      </c>
      <c r="AG21" s="286">
        <v>0</v>
      </c>
      <c r="AH21" s="290">
        <v>0</v>
      </c>
      <c r="AI21" s="205">
        <f t="shared" si="13"/>
        <v>0</v>
      </c>
      <c r="AJ21" s="291">
        <f t="shared" si="14"/>
        <v>1531</v>
      </c>
      <c r="AK21" s="205"/>
      <c r="AL21" s="208"/>
      <c r="AM21" s="211"/>
    </row>
    <row r="22" spans="1:40" s="29" customFormat="1" ht="30.75" customHeight="1" x14ac:dyDescent="0.2">
      <c r="A22" s="5"/>
      <c r="B22" s="38">
        <v>7</v>
      </c>
      <c r="C22" s="38" t="s">
        <v>430</v>
      </c>
      <c r="D22" s="292" t="s">
        <v>138</v>
      </c>
      <c r="E22" s="284" t="s">
        <v>31</v>
      </c>
      <c r="F22" s="38"/>
      <c r="G22" s="38">
        <v>15</v>
      </c>
      <c r="H22" s="285">
        <v>98.14</v>
      </c>
      <c r="I22" s="205">
        <v>1531</v>
      </c>
      <c r="J22" s="286">
        <v>0</v>
      </c>
      <c r="K22" s="286">
        <f t="shared" si="0"/>
        <v>0</v>
      </c>
      <c r="L22" s="286">
        <v>0</v>
      </c>
      <c r="M22" s="286">
        <v>0</v>
      </c>
      <c r="N22" s="286">
        <v>0</v>
      </c>
      <c r="O22" s="286">
        <v>0</v>
      </c>
      <c r="P22" s="205">
        <f t="shared" si="1"/>
        <v>1531</v>
      </c>
      <c r="Q22" s="287"/>
      <c r="R22" s="205">
        <f t="shared" si="2"/>
        <v>0</v>
      </c>
      <c r="S22" s="205">
        <f t="shared" si="3"/>
        <v>1531</v>
      </c>
      <c r="T22" s="205">
        <f t="shared" si="4"/>
        <v>318.01</v>
      </c>
      <c r="U22" s="205">
        <f t="shared" si="5"/>
        <v>1212.99</v>
      </c>
      <c r="V22" s="288">
        <f t="shared" si="6"/>
        <v>6.4000000000000001E-2</v>
      </c>
      <c r="W22" s="205">
        <f t="shared" si="7"/>
        <v>77.631360000000001</v>
      </c>
      <c r="X22" s="205">
        <f t="shared" si="8"/>
        <v>6.15</v>
      </c>
      <c r="Y22" s="205">
        <f t="shared" si="9"/>
        <v>83.781360000000006</v>
      </c>
      <c r="Z22" s="205">
        <f t="shared" si="10"/>
        <v>200.7</v>
      </c>
      <c r="AA22" s="205">
        <f t="shared" si="11"/>
        <v>-116.91863999999998</v>
      </c>
      <c r="AB22" s="287"/>
      <c r="AC22" s="205">
        <v>0</v>
      </c>
      <c r="AD22" s="205">
        <f t="shared" si="12"/>
        <v>0</v>
      </c>
      <c r="AE22" s="205">
        <v>0</v>
      </c>
      <c r="AF22" s="286">
        <v>0</v>
      </c>
      <c r="AG22" s="286">
        <v>0</v>
      </c>
      <c r="AH22" s="290">
        <v>0</v>
      </c>
      <c r="AI22" s="205">
        <f t="shared" si="13"/>
        <v>0</v>
      </c>
      <c r="AJ22" s="291">
        <f t="shared" si="14"/>
        <v>1531</v>
      </c>
      <c r="AK22" s="38"/>
      <c r="AL22" s="51"/>
      <c r="AM22" s="212"/>
    </row>
    <row r="23" spans="1:40" x14ac:dyDescent="0.2">
      <c r="B23" s="39"/>
      <c r="C23" s="39"/>
      <c r="D23" s="69"/>
      <c r="E23" s="39"/>
      <c r="F23" s="39"/>
      <c r="G23" s="39"/>
      <c r="H23" s="3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214"/>
      <c r="U23" s="46"/>
      <c r="V23" s="46"/>
      <c r="W23" s="46"/>
      <c r="X23" s="46"/>
      <c r="Y23" s="46"/>
      <c r="Z23" s="214"/>
      <c r="AA23" s="46"/>
      <c r="AB23" s="46"/>
      <c r="AC23" s="46"/>
      <c r="AD23" s="46"/>
      <c r="AE23" s="46"/>
      <c r="AF23" s="46"/>
      <c r="AG23" s="46"/>
      <c r="AH23" s="46"/>
      <c r="AI23" s="46"/>
      <c r="AJ23" s="215"/>
      <c r="AK23" s="39"/>
      <c r="AL23" s="208"/>
    </row>
    <row r="24" spans="1:40" ht="16.5" thickBot="1" x14ac:dyDescent="0.25">
      <c r="B24" s="435" t="s">
        <v>17</v>
      </c>
      <c r="C24" s="436"/>
      <c r="D24" s="436"/>
      <c r="E24" s="436"/>
      <c r="F24" s="436"/>
      <c r="G24" s="436"/>
      <c r="H24" s="437"/>
      <c r="I24" s="47">
        <f t="shared" ref="I24:P24" si="15">SUM(I16:I22)</f>
        <v>10717</v>
      </c>
      <c r="J24" s="47">
        <f t="shared" si="15"/>
        <v>0</v>
      </c>
      <c r="K24" s="47">
        <f t="shared" si="15"/>
        <v>0</v>
      </c>
      <c r="L24" s="47">
        <f t="shared" si="15"/>
        <v>0</v>
      </c>
      <c r="M24" s="47">
        <f t="shared" si="15"/>
        <v>0</v>
      </c>
      <c r="N24" s="47">
        <f t="shared" si="15"/>
        <v>0</v>
      </c>
      <c r="O24" s="47">
        <f t="shared" si="15"/>
        <v>0</v>
      </c>
      <c r="P24" s="47">
        <f t="shared" si="15"/>
        <v>10717</v>
      </c>
      <c r="Q24" s="47"/>
      <c r="R24" s="47">
        <f t="shared" ref="R24:AA24" si="16">SUM(R16:R22)</f>
        <v>0</v>
      </c>
      <c r="S24" s="47">
        <f t="shared" si="16"/>
        <v>10717</v>
      </c>
      <c r="T24" s="47">
        <f t="shared" si="16"/>
        <v>2226.0699999999997</v>
      </c>
      <c r="U24" s="47">
        <f t="shared" si="16"/>
        <v>8490.93</v>
      </c>
      <c r="V24" s="47">
        <f t="shared" si="16"/>
        <v>0.44800000000000001</v>
      </c>
      <c r="W24" s="47">
        <f t="shared" si="16"/>
        <v>543.41951999999992</v>
      </c>
      <c r="X24" s="47">
        <f t="shared" si="16"/>
        <v>43.05</v>
      </c>
      <c r="Y24" s="47">
        <f t="shared" si="16"/>
        <v>586.4695200000001</v>
      </c>
      <c r="Z24" s="47">
        <f t="shared" si="16"/>
        <v>1404.9</v>
      </c>
      <c r="AA24" s="47">
        <f t="shared" si="16"/>
        <v>-818.43047999999987</v>
      </c>
      <c r="AB24" s="47"/>
      <c r="AC24" s="47">
        <f t="shared" ref="AC24:AI24" si="17">SUM(AC16:AC22)</f>
        <v>0</v>
      </c>
      <c r="AD24" s="47">
        <f t="shared" si="17"/>
        <v>0</v>
      </c>
      <c r="AE24" s="47">
        <f t="shared" si="17"/>
        <v>0</v>
      </c>
      <c r="AF24" s="47">
        <f t="shared" si="17"/>
        <v>0</v>
      </c>
      <c r="AG24" s="47">
        <f t="shared" si="17"/>
        <v>0</v>
      </c>
      <c r="AH24" s="47">
        <f t="shared" si="17"/>
        <v>0</v>
      </c>
      <c r="AI24" s="47">
        <f t="shared" si="17"/>
        <v>0</v>
      </c>
      <c r="AJ24" s="216">
        <f>SUM(AJ16:AJ22)</f>
        <v>10717</v>
      </c>
      <c r="AK24" s="39"/>
      <c r="AL24" s="208"/>
      <c r="AM24" s="212">
        <f>P24+AC24-AI24</f>
        <v>10717</v>
      </c>
    </row>
    <row r="25" spans="1:40" ht="18" thickTop="1" x14ac:dyDescent="0.2">
      <c r="B25" s="39"/>
      <c r="C25" s="39"/>
      <c r="D25" s="6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207"/>
      <c r="AK25" s="39"/>
      <c r="AL25" s="208"/>
    </row>
    <row r="26" spans="1:40" x14ac:dyDescent="0.2">
      <c r="B26" s="39"/>
      <c r="C26" s="39"/>
      <c r="D26" s="6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207"/>
      <c r="AK26" s="39"/>
      <c r="AL26" s="208"/>
    </row>
    <row r="27" spans="1:40" x14ac:dyDescent="0.2">
      <c r="B27" s="39"/>
      <c r="C27" s="39"/>
      <c r="D27" s="6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207"/>
      <c r="AK27" s="39"/>
      <c r="AL27" s="208"/>
    </row>
    <row r="28" spans="1:40" x14ac:dyDescent="0.2">
      <c r="B28" s="39"/>
      <c r="C28" s="39"/>
      <c r="D28" s="6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207"/>
      <c r="AK28" s="39"/>
      <c r="AL28" s="208"/>
    </row>
    <row r="29" spans="1:40" x14ac:dyDescent="0.2">
      <c r="B29" s="39"/>
      <c r="C29" s="39"/>
      <c r="D29" s="6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207"/>
      <c r="AK29" s="39"/>
      <c r="AL29" s="208"/>
    </row>
    <row r="30" spans="1:40" x14ac:dyDescent="0.2">
      <c r="B30" s="39"/>
      <c r="C30" s="39"/>
      <c r="D30" s="6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207"/>
      <c r="AK30" s="39"/>
      <c r="AL30" s="208"/>
    </row>
    <row r="31" spans="1:40" x14ac:dyDescent="0.2">
      <c r="B31" s="39"/>
      <c r="C31" s="39"/>
      <c r="D31" s="6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207"/>
      <c r="AK31" s="39"/>
      <c r="AL31" s="208"/>
    </row>
    <row r="32" spans="1:40" x14ac:dyDescent="0.2">
      <c r="B32" s="39"/>
      <c r="C32" s="39"/>
      <c r="D32" s="6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207"/>
      <c r="AK32" s="39"/>
      <c r="AL32" s="208"/>
    </row>
    <row r="33" spans="1:38" ht="18" thickBot="1" x14ac:dyDescent="0.25">
      <c r="A33" s="5" t="s">
        <v>29</v>
      </c>
      <c r="B33" s="39"/>
      <c r="C33" s="39"/>
      <c r="D33" s="71"/>
      <c r="E33" s="4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8"/>
      <c r="AD33" s="48"/>
      <c r="AE33" s="39"/>
      <c r="AF33" s="39"/>
      <c r="AG33" s="39"/>
      <c r="AH33" s="48"/>
      <c r="AI33" s="48"/>
      <c r="AJ33" s="217"/>
      <c r="AK33" s="48"/>
      <c r="AL33" s="208"/>
    </row>
    <row r="34" spans="1:38" ht="31.5" customHeight="1" x14ac:dyDescent="0.2">
      <c r="B34" s="39"/>
      <c r="C34" s="39"/>
      <c r="D34" s="438" t="s">
        <v>423</v>
      </c>
      <c r="E34" s="4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39" t="s">
        <v>342</v>
      </c>
      <c r="AD34" s="439"/>
      <c r="AE34" s="439"/>
      <c r="AF34" s="439"/>
      <c r="AG34" s="439"/>
      <c r="AH34" s="439"/>
      <c r="AI34" s="439"/>
      <c r="AJ34" s="439"/>
      <c r="AK34" s="439"/>
      <c r="AL34" s="208"/>
    </row>
    <row r="35" spans="1:38" ht="31.5" customHeight="1" x14ac:dyDescent="0.2">
      <c r="B35" s="39"/>
      <c r="C35" s="39"/>
      <c r="D35" s="440" t="s">
        <v>154</v>
      </c>
      <c r="E35" s="440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9" t="s">
        <v>424</v>
      </c>
      <c r="AD35" s="439"/>
      <c r="AE35" s="439"/>
      <c r="AF35" s="439"/>
      <c r="AG35" s="439"/>
      <c r="AH35" s="439"/>
      <c r="AI35" s="439"/>
      <c r="AJ35" s="439"/>
      <c r="AK35" s="439"/>
      <c r="AL35" s="208"/>
    </row>
    <row r="36" spans="1:38" x14ac:dyDescent="0.2">
      <c r="B36" s="49"/>
      <c r="C36" s="49"/>
      <c r="D36" s="69"/>
      <c r="E36" s="49"/>
      <c r="F36" s="49"/>
      <c r="G36" s="49"/>
      <c r="H36" s="49"/>
      <c r="AK36" s="49"/>
      <c r="AL36" s="219"/>
    </row>
    <row r="37" spans="1:38" x14ac:dyDescent="0.2">
      <c r="B37" s="49"/>
      <c r="C37" s="49"/>
      <c r="D37" s="69"/>
      <c r="E37" s="49"/>
      <c r="F37" s="49"/>
      <c r="G37" s="49"/>
      <c r="H37" s="49"/>
      <c r="AK37" s="49"/>
      <c r="AL37" s="219"/>
    </row>
    <row r="38" spans="1:38" x14ac:dyDescent="0.2">
      <c r="B38" s="49"/>
      <c r="C38" s="49"/>
      <c r="D38" s="69"/>
      <c r="E38" s="49"/>
      <c r="F38" s="49"/>
      <c r="G38" s="49"/>
      <c r="H38" s="49"/>
      <c r="I38" s="49" t="s">
        <v>95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218">
        <f>+AJ16+AJ17+AJ18+AJ19+AJ20+AJ21+AJ22</f>
        <v>10717</v>
      </c>
      <c r="AK38" s="49"/>
      <c r="AL38" s="219"/>
    </row>
    <row r="39" spans="1:38" x14ac:dyDescent="0.2">
      <c r="B39" s="49"/>
      <c r="C39" s="49"/>
      <c r="D39" s="69"/>
      <c r="E39" s="49"/>
      <c r="F39" s="49"/>
      <c r="G39" s="49"/>
      <c r="H39" s="49"/>
      <c r="I39" s="49" t="s">
        <v>96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218">
        <v>0</v>
      </c>
      <c r="AK39" s="49"/>
      <c r="AL39" s="219"/>
    </row>
    <row r="40" spans="1:38" x14ac:dyDescent="0.2">
      <c r="B40" s="49"/>
      <c r="C40" s="49"/>
      <c r="D40" s="6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218">
        <f>+AJ38+AJ39</f>
        <v>10717</v>
      </c>
      <c r="AK40" s="49"/>
      <c r="AL40" s="219"/>
    </row>
    <row r="41" spans="1:38" x14ac:dyDescent="0.2">
      <c r="B41" s="49"/>
      <c r="C41" s="49"/>
      <c r="D41" s="6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220"/>
      <c r="AK41" s="49"/>
      <c r="AL41" s="219"/>
    </row>
    <row r="42" spans="1:38" x14ac:dyDescent="0.2">
      <c r="AJ42" s="221"/>
    </row>
  </sheetData>
  <mergeCells count="16">
    <mergeCell ref="B24:H24"/>
    <mergeCell ref="D34:E34"/>
    <mergeCell ref="AC34:AK34"/>
    <mergeCell ref="D35:E35"/>
    <mergeCell ref="AC35:AK35"/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workbookViewId="0">
      <selection activeCell="E10" sqref="E10:E21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232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5"/>
      <c r="D2" s="45"/>
      <c r="E2" s="39"/>
      <c r="F2" s="39"/>
      <c r="G2" s="39"/>
      <c r="H2" s="224"/>
      <c r="I2" s="3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ht="20.25" customHeight="1" x14ac:dyDescent="0.2">
      <c r="A3" s="39"/>
      <c r="B3" s="39"/>
      <c r="C3" s="440" t="s">
        <v>102</v>
      </c>
      <c r="D3" s="440"/>
      <c r="E3" s="440"/>
      <c r="F3" s="440"/>
      <c r="G3" s="440"/>
      <c r="H3" s="440"/>
      <c r="I3" s="440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x14ac:dyDescent="0.2">
      <c r="A4" s="39"/>
      <c r="B4" s="39"/>
      <c r="C4" s="45"/>
      <c r="D4" s="45"/>
      <c r="E4" s="39"/>
      <c r="F4" s="39"/>
      <c r="G4" s="39"/>
      <c r="H4" s="224"/>
      <c r="I4" s="3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9" x14ac:dyDescent="0.2">
      <c r="A5" s="39"/>
      <c r="B5" s="39"/>
      <c r="C5" s="45"/>
      <c r="D5" s="45"/>
      <c r="E5" s="39"/>
      <c r="F5" s="39"/>
      <c r="G5" s="39"/>
      <c r="H5" s="224"/>
      <c r="I5" s="3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9" x14ac:dyDescent="0.2">
      <c r="A6" s="441" t="s">
        <v>497</v>
      </c>
      <c r="B6" s="441"/>
      <c r="C6" s="441"/>
      <c r="D6" s="441"/>
      <c r="E6" s="441"/>
      <c r="F6" s="441"/>
      <c r="G6" s="441"/>
      <c r="H6" s="441"/>
      <c r="I6" s="441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9" x14ac:dyDescent="0.2">
      <c r="A7" s="442" t="s">
        <v>148</v>
      </c>
      <c r="B7" s="234"/>
      <c r="C7" s="445" t="s">
        <v>14</v>
      </c>
      <c r="D7" s="445" t="s">
        <v>28</v>
      </c>
      <c r="E7" s="38"/>
      <c r="F7" s="37" t="s">
        <v>147</v>
      </c>
      <c r="G7" s="37" t="s">
        <v>1</v>
      </c>
      <c r="H7" s="448" t="s">
        <v>388</v>
      </c>
      <c r="I7" s="442" t="s">
        <v>385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9" x14ac:dyDescent="0.2">
      <c r="A8" s="443"/>
      <c r="B8" s="235" t="s">
        <v>430</v>
      </c>
      <c r="C8" s="446"/>
      <c r="D8" s="446"/>
      <c r="E8" s="37" t="s">
        <v>103</v>
      </c>
      <c r="F8" s="52" t="s">
        <v>15</v>
      </c>
      <c r="G8" s="37" t="s">
        <v>16</v>
      </c>
      <c r="H8" s="449"/>
      <c r="I8" s="443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9" x14ac:dyDescent="0.2">
      <c r="A9" s="444"/>
      <c r="B9" s="236"/>
      <c r="C9" s="447"/>
      <c r="D9" s="447"/>
      <c r="E9" s="37"/>
      <c r="F9" s="37"/>
      <c r="G9" s="37"/>
      <c r="H9" s="450"/>
      <c r="I9" s="444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223">
        <f>+H10+H11+H12+H13+H14+H15+H16+H17+H18+H19+H20+H21</f>
        <v>16064</v>
      </c>
      <c r="AM9" t="s">
        <v>95</v>
      </c>
    </row>
    <row r="10" spans="1:39" ht="25.5" x14ac:dyDescent="0.2">
      <c r="A10" s="38">
        <v>1</v>
      </c>
      <c r="B10" s="38" t="s">
        <v>430</v>
      </c>
      <c r="C10" s="293" t="s">
        <v>306</v>
      </c>
      <c r="D10" s="90" t="s">
        <v>104</v>
      </c>
      <c r="E10" s="284"/>
      <c r="F10" s="284">
        <v>15</v>
      </c>
      <c r="G10" s="285">
        <v>92.6</v>
      </c>
      <c r="H10" s="294">
        <f>F10*G10</f>
        <v>1389</v>
      </c>
      <c r="I10" s="205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206"/>
      <c r="AM10" t="s">
        <v>96</v>
      </c>
    </row>
    <row r="11" spans="1:39" ht="38.25" x14ac:dyDescent="0.2">
      <c r="A11" s="38">
        <v>2</v>
      </c>
      <c r="B11" s="38" t="s">
        <v>430</v>
      </c>
      <c r="C11" s="293" t="s">
        <v>307</v>
      </c>
      <c r="D11" s="90" t="s">
        <v>105</v>
      </c>
      <c r="E11" s="284"/>
      <c r="F11" s="284">
        <v>15</v>
      </c>
      <c r="G11" s="285">
        <v>133.33000000000001</v>
      </c>
      <c r="H11" s="294">
        <v>2000</v>
      </c>
      <c r="I11" s="205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</row>
    <row r="12" spans="1:39" ht="25.5" x14ac:dyDescent="0.2">
      <c r="A12" s="38">
        <v>3</v>
      </c>
      <c r="B12" s="38" t="s">
        <v>430</v>
      </c>
      <c r="C12" s="293" t="s">
        <v>308</v>
      </c>
      <c r="D12" s="90" t="s">
        <v>152</v>
      </c>
      <c r="E12" s="284"/>
      <c r="F12" s="284">
        <v>15</v>
      </c>
      <c r="G12" s="285">
        <v>86.73</v>
      </c>
      <c r="H12" s="294">
        <v>1301</v>
      </c>
      <c r="I12" s="205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</row>
    <row r="13" spans="1:39" ht="25.5" x14ac:dyDescent="0.2">
      <c r="A13" s="38">
        <v>4</v>
      </c>
      <c r="B13" s="38" t="s">
        <v>430</v>
      </c>
      <c r="C13" s="293" t="s">
        <v>309</v>
      </c>
      <c r="D13" s="90" t="s">
        <v>153</v>
      </c>
      <c r="E13" s="284"/>
      <c r="F13" s="284">
        <v>15</v>
      </c>
      <c r="G13" s="285">
        <v>86.73</v>
      </c>
      <c r="H13" s="294">
        <v>1301</v>
      </c>
      <c r="I13" s="205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</row>
    <row r="14" spans="1:39" ht="25.5" x14ac:dyDescent="0.2">
      <c r="A14" s="38">
        <v>5</v>
      </c>
      <c r="B14" s="38" t="s">
        <v>430</v>
      </c>
      <c r="C14" s="293" t="s">
        <v>310</v>
      </c>
      <c r="D14" s="90" t="s">
        <v>114</v>
      </c>
      <c r="E14" s="284"/>
      <c r="F14" s="284">
        <v>15</v>
      </c>
      <c r="G14" s="285">
        <v>80</v>
      </c>
      <c r="H14" s="294">
        <v>1200</v>
      </c>
      <c r="I14" s="205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</row>
    <row r="15" spans="1:39" ht="25.5" x14ac:dyDescent="0.2">
      <c r="A15" s="38">
        <v>6</v>
      </c>
      <c r="B15" s="38" t="s">
        <v>430</v>
      </c>
      <c r="C15" s="293" t="s">
        <v>311</v>
      </c>
      <c r="D15" s="90" t="s">
        <v>114</v>
      </c>
      <c r="E15" s="284"/>
      <c r="F15" s="284">
        <v>15</v>
      </c>
      <c r="G15" s="285">
        <v>100</v>
      </c>
      <c r="H15" s="294">
        <v>1500</v>
      </c>
      <c r="I15" s="205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39" ht="38.25" x14ac:dyDescent="0.2">
      <c r="A16" s="38">
        <v>7</v>
      </c>
      <c r="B16" s="38" t="s">
        <v>430</v>
      </c>
      <c r="C16" s="293" t="s">
        <v>312</v>
      </c>
      <c r="D16" s="90" t="s">
        <v>156</v>
      </c>
      <c r="E16" s="284"/>
      <c r="F16" s="284">
        <v>15</v>
      </c>
      <c r="G16" s="285">
        <v>65</v>
      </c>
      <c r="H16" s="294">
        <f>F16*G16</f>
        <v>975</v>
      </c>
      <c r="I16" s="205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1:38" s="4" customFormat="1" ht="25.5" x14ac:dyDescent="0.2">
      <c r="A17" s="38">
        <v>8</v>
      </c>
      <c r="B17" s="38" t="s">
        <v>430</v>
      </c>
      <c r="C17" s="295" t="s">
        <v>144</v>
      </c>
      <c r="D17" s="296" t="s">
        <v>145</v>
      </c>
      <c r="E17" s="38"/>
      <c r="F17" s="284">
        <v>15</v>
      </c>
      <c r="G17" s="297">
        <v>88.67</v>
      </c>
      <c r="H17" s="294">
        <v>1330</v>
      </c>
      <c r="I17" s="3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</row>
    <row r="18" spans="1:38" s="4" customFormat="1" ht="25.5" x14ac:dyDescent="0.2">
      <c r="A18" s="38">
        <v>9</v>
      </c>
      <c r="B18" s="38" t="s">
        <v>430</v>
      </c>
      <c r="C18" s="295" t="s">
        <v>313</v>
      </c>
      <c r="D18" s="90" t="s">
        <v>155</v>
      </c>
      <c r="E18" s="38"/>
      <c r="F18" s="284">
        <v>15</v>
      </c>
      <c r="G18" s="297">
        <v>64.53</v>
      </c>
      <c r="H18" s="294">
        <v>968</v>
      </c>
      <c r="I18" s="38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</row>
    <row r="19" spans="1:38" ht="20.25" customHeight="1" x14ac:dyDescent="0.2">
      <c r="A19" s="38">
        <v>10</v>
      </c>
      <c r="B19" s="38" t="s">
        <v>430</v>
      </c>
      <c r="C19" s="295" t="s">
        <v>157</v>
      </c>
      <c r="D19" s="296"/>
      <c r="E19" s="38"/>
      <c r="F19" s="284">
        <v>15</v>
      </c>
      <c r="G19" s="38">
        <v>80</v>
      </c>
      <c r="H19" s="294">
        <v>1200</v>
      </c>
      <c r="I19" s="38"/>
      <c r="J19" s="49" t="s">
        <v>387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38" ht="39.75" customHeight="1" x14ac:dyDescent="0.2">
      <c r="A20" s="38">
        <v>11</v>
      </c>
      <c r="B20" s="247" t="s">
        <v>430</v>
      </c>
      <c r="C20" s="298" t="s">
        <v>338</v>
      </c>
      <c r="D20" s="295" t="s">
        <v>170</v>
      </c>
      <c r="E20" s="247"/>
      <c r="F20" s="284">
        <v>15</v>
      </c>
      <c r="G20" s="299">
        <f>H20/15</f>
        <v>113.33333333333333</v>
      </c>
      <c r="H20" s="294">
        <v>1700</v>
      </c>
      <c r="I20" s="3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</row>
    <row r="21" spans="1:38" ht="41.25" customHeight="1" x14ac:dyDescent="0.2">
      <c r="A21" s="300">
        <v>12</v>
      </c>
      <c r="B21" s="300" t="s">
        <v>430</v>
      </c>
      <c r="C21" s="295" t="s">
        <v>386</v>
      </c>
      <c r="D21" s="298" t="s">
        <v>171</v>
      </c>
      <c r="E21" s="38"/>
      <c r="F21" s="301">
        <v>15</v>
      </c>
      <c r="G21" s="299">
        <v>80</v>
      </c>
      <c r="H21" s="294">
        <f>F21*G21</f>
        <v>1200</v>
      </c>
      <c r="I21" s="38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</row>
    <row r="22" spans="1:38" ht="13.5" thickBot="1" x14ac:dyDescent="0.25">
      <c r="A22" s="453" t="s">
        <v>17</v>
      </c>
      <c r="B22" s="454"/>
      <c r="C22" s="454"/>
      <c r="D22" s="454"/>
      <c r="E22" s="454"/>
      <c r="F22" s="454"/>
      <c r="G22" s="455"/>
      <c r="H22" s="225">
        <f>SUM(H10:H21)</f>
        <v>16064</v>
      </c>
      <c r="I22" s="3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204"/>
    </row>
    <row r="23" spans="1:38" ht="13.5" thickTop="1" x14ac:dyDescent="0.2">
      <c r="A23" s="39"/>
      <c r="B23" s="39"/>
      <c r="C23" s="45"/>
      <c r="D23" s="45"/>
      <c r="E23" s="39"/>
      <c r="F23" s="39"/>
      <c r="G23" s="39"/>
      <c r="H23" s="224"/>
      <c r="I23" s="3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1:38" x14ac:dyDescent="0.2">
      <c r="A24" s="39"/>
      <c r="B24" s="39"/>
      <c r="C24" s="45"/>
      <c r="D24" s="45"/>
      <c r="E24" s="39"/>
      <c r="F24" s="39"/>
      <c r="G24" s="39"/>
      <c r="H24" s="224"/>
      <c r="I24" s="3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</row>
    <row r="25" spans="1:38" ht="13.5" thickBot="1" x14ac:dyDescent="0.25">
      <c r="A25" s="39"/>
      <c r="B25" s="39"/>
      <c r="C25" s="45"/>
      <c r="D25" s="45"/>
      <c r="E25" s="39"/>
      <c r="F25" s="39"/>
      <c r="G25" s="39"/>
      <c r="H25" s="226"/>
      <c r="I25" s="48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</row>
    <row r="26" spans="1:38" ht="15" customHeight="1" x14ac:dyDescent="0.2">
      <c r="A26" s="438" t="s">
        <v>151</v>
      </c>
      <c r="B26" s="438"/>
      <c r="C26" s="438"/>
      <c r="D26" s="45"/>
      <c r="E26" s="41"/>
      <c r="F26" s="41"/>
      <c r="G26" s="41"/>
      <c r="H26" s="439" t="s">
        <v>342</v>
      </c>
      <c r="I26" s="43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</row>
    <row r="27" spans="1:38" x14ac:dyDescent="0.2">
      <c r="A27" s="440" t="s">
        <v>141</v>
      </c>
      <c r="B27" s="440"/>
      <c r="C27" s="440"/>
      <c r="D27" s="45"/>
      <c r="E27" s="39"/>
      <c r="F27" s="39"/>
      <c r="G27" s="39"/>
      <c r="H27" s="440" t="s">
        <v>106</v>
      </c>
      <c r="I27" s="440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1:38" x14ac:dyDescent="0.2">
      <c r="A28" s="49"/>
      <c r="B28" s="49"/>
      <c r="C28" s="45"/>
      <c r="D28" s="57"/>
      <c r="E28" s="49"/>
      <c r="F28" s="49"/>
      <c r="G28" s="49"/>
      <c r="H28" s="227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</row>
    <row r="29" spans="1:38" x14ac:dyDescent="0.2">
      <c r="A29" s="49"/>
      <c r="B29" s="49"/>
      <c r="C29" s="45"/>
      <c r="D29" s="57"/>
      <c r="E29" s="49"/>
      <c r="F29" s="49"/>
      <c r="G29" s="49"/>
      <c r="H29" s="227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</row>
    <row r="30" spans="1:38" x14ac:dyDescent="0.2">
      <c r="A30" s="49"/>
      <c r="B30" s="49"/>
      <c r="C30" s="45"/>
      <c r="D30" s="57"/>
      <c r="E30" s="49"/>
      <c r="F30" s="49"/>
      <c r="G30" s="49"/>
      <c r="H30" s="227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</row>
    <row r="31" spans="1:38" ht="15" customHeight="1" x14ac:dyDescent="0.2">
      <c r="A31" s="49"/>
      <c r="B31" s="49"/>
      <c r="C31" s="45"/>
      <c r="D31" s="57"/>
      <c r="E31" s="49"/>
      <c r="F31" s="49"/>
      <c r="G31" s="49"/>
      <c r="H31" s="227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1:38" ht="15" customHeight="1" x14ac:dyDescent="0.2">
      <c r="A32" s="49"/>
      <c r="B32" s="49"/>
      <c r="C32" s="45"/>
      <c r="D32" s="57"/>
      <c r="E32" s="49"/>
      <c r="F32" s="49"/>
      <c r="G32" s="49"/>
      <c r="H32" s="22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</row>
    <row r="33" spans="1:37" ht="20.25" customHeight="1" x14ac:dyDescent="0.2">
      <c r="A33" s="49"/>
      <c r="B33" s="49"/>
      <c r="C33" s="45"/>
      <c r="D33" s="57"/>
      <c r="E33" s="49"/>
      <c r="F33" s="49"/>
      <c r="G33" s="49"/>
      <c r="H33" s="227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  <row r="34" spans="1:37" x14ac:dyDescent="0.2">
      <c r="A34" s="49"/>
      <c r="B34" s="49"/>
      <c r="C34" s="45"/>
      <c r="D34" s="57"/>
      <c r="E34" s="49"/>
      <c r="F34" s="49"/>
      <c r="G34" s="49"/>
      <c r="H34" s="227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</row>
    <row r="35" spans="1:37" hidden="1" x14ac:dyDescent="0.2">
      <c r="A35" s="49"/>
      <c r="B35" s="49"/>
      <c r="C35" s="45"/>
      <c r="D35" s="57"/>
      <c r="E35" s="49"/>
      <c r="F35" s="49"/>
      <c r="G35" s="49"/>
      <c r="H35" s="227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</row>
    <row r="36" spans="1:37" hidden="1" x14ac:dyDescent="0.2">
      <c r="A36" s="49"/>
      <c r="B36" s="49"/>
      <c r="C36" s="45"/>
      <c r="D36" s="57"/>
      <c r="E36" s="49"/>
      <c r="F36" s="49"/>
      <c r="G36" s="49"/>
      <c r="H36" s="227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</row>
    <row r="37" spans="1:37" hidden="1" x14ac:dyDescent="0.2">
      <c r="A37" s="49"/>
      <c r="B37" s="49"/>
      <c r="C37" s="45"/>
      <c r="D37" s="57"/>
      <c r="E37" s="49"/>
      <c r="F37" s="49" t="s">
        <v>95</v>
      </c>
      <c r="G37" s="49"/>
      <c r="H37" s="227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</row>
    <row r="38" spans="1:37" hidden="1" x14ac:dyDescent="0.2">
      <c r="A38" s="49"/>
      <c r="B38" s="49"/>
      <c r="C38" s="45"/>
      <c r="D38" s="57"/>
      <c r="E38" s="49"/>
      <c r="F38" s="49" t="s">
        <v>96</v>
      </c>
      <c r="G38" s="49"/>
      <c r="H38" s="227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</row>
    <row r="39" spans="1:37" hidden="1" x14ac:dyDescent="0.2">
      <c r="A39" s="49"/>
      <c r="B39" s="49"/>
      <c r="C39" s="45"/>
      <c r="D39" s="57"/>
      <c r="E39" s="49"/>
      <c r="F39" s="49"/>
      <c r="G39" s="49"/>
      <c r="H39" s="227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</row>
    <row r="40" spans="1:37" hidden="1" x14ac:dyDescent="0.2">
      <c r="A40" s="49"/>
      <c r="B40" s="49"/>
      <c r="C40" s="45"/>
      <c r="D40" s="57"/>
      <c r="E40" s="49"/>
      <c r="F40" s="49"/>
      <c r="G40" s="49"/>
      <c r="H40" s="227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</row>
    <row r="41" spans="1:37" hidden="1" x14ac:dyDescent="0.2">
      <c r="A41" s="49"/>
      <c r="B41" s="49"/>
      <c r="C41" s="45"/>
      <c r="D41" s="57"/>
      <c r="E41" s="49"/>
      <c r="F41" s="49"/>
      <c r="G41" s="49"/>
      <c r="H41" s="227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1:37" x14ac:dyDescent="0.2">
      <c r="A42" s="49"/>
      <c r="B42" s="49"/>
      <c r="C42" s="57"/>
      <c r="D42" s="57"/>
      <c r="E42" s="42"/>
      <c r="F42" s="49"/>
      <c r="G42" s="42"/>
      <c r="H42" s="22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1:37" x14ac:dyDescent="0.2">
      <c r="A43" s="49"/>
      <c r="B43" s="49"/>
      <c r="C43" s="57"/>
      <c r="D43" s="57"/>
      <c r="E43" s="49"/>
      <c r="F43" s="49"/>
      <c r="G43" s="49"/>
      <c r="H43" s="22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</row>
    <row r="44" spans="1:37" x14ac:dyDescent="0.2">
      <c r="A44" s="430" t="s">
        <v>136</v>
      </c>
      <c r="B44" s="430"/>
      <c r="C44" s="430"/>
      <c r="D44" s="430"/>
      <c r="E44" s="430"/>
      <c r="F44" s="430"/>
      <c r="G44" s="430"/>
      <c r="H44" s="430"/>
      <c r="I44" s="430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</row>
    <row r="45" spans="1:37" x14ac:dyDescent="0.2">
      <c r="A45" s="456" t="s">
        <v>497</v>
      </c>
      <c r="B45" s="456"/>
      <c r="C45" s="456"/>
      <c r="D45" s="456"/>
      <c r="E45" s="456"/>
      <c r="F45" s="456"/>
      <c r="G45" s="456"/>
      <c r="H45" s="456"/>
      <c r="I45" s="456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1:37" x14ac:dyDescent="0.2">
      <c r="A46" s="58"/>
      <c r="B46" s="58"/>
      <c r="C46" s="59"/>
      <c r="D46" s="59"/>
      <c r="E46" s="58"/>
      <c r="F46" s="203" t="s">
        <v>147</v>
      </c>
      <c r="G46" s="203" t="s">
        <v>1</v>
      </c>
      <c r="H46" s="228" t="s">
        <v>370</v>
      </c>
      <c r="I46" s="442" t="s">
        <v>385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</row>
    <row r="47" spans="1:37" x14ac:dyDescent="0.2">
      <c r="A47" s="53" t="s">
        <v>148</v>
      </c>
      <c r="B47" s="53" t="s">
        <v>430</v>
      </c>
      <c r="C47" s="54" t="s">
        <v>14</v>
      </c>
      <c r="D47" s="54" t="s">
        <v>28</v>
      </c>
      <c r="E47" s="53" t="s">
        <v>103</v>
      </c>
      <c r="F47" s="202" t="s">
        <v>15</v>
      </c>
      <c r="G47" s="53" t="s">
        <v>16</v>
      </c>
      <c r="H47" s="229" t="s">
        <v>384</v>
      </c>
      <c r="I47" s="443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1:37" x14ac:dyDescent="0.2">
      <c r="A48" s="55"/>
      <c r="B48" s="55"/>
      <c r="C48" s="56"/>
      <c r="D48" s="56"/>
      <c r="E48" s="55"/>
      <c r="F48" s="55"/>
      <c r="G48" s="55"/>
      <c r="H48" s="230" t="s">
        <v>383</v>
      </c>
      <c r="I48" s="444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1:37" ht="25.5" x14ac:dyDescent="0.2">
      <c r="A49" s="302">
        <v>1</v>
      </c>
      <c r="B49" s="302" t="s">
        <v>430</v>
      </c>
      <c r="C49" s="293" t="s">
        <v>314</v>
      </c>
      <c r="D49" s="303" t="s">
        <v>137</v>
      </c>
      <c r="E49" s="304" t="s">
        <v>160</v>
      </c>
      <c r="F49" s="304">
        <v>15</v>
      </c>
      <c r="G49" s="305">
        <f>H49/F49</f>
        <v>100</v>
      </c>
      <c r="H49" s="306">
        <v>1500</v>
      </c>
      <c r="I49" s="201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0" spans="1:37" ht="25.5" x14ac:dyDescent="0.2">
      <c r="A50" s="302">
        <v>2</v>
      </c>
      <c r="B50" s="302" t="s">
        <v>430</v>
      </c>
      <c r="C50" s="293" t="s">
        <v>428</v>
      </c>
      <c r="D50" s="303" t="s">
        <v>429</v>
      </c>
      <c r="E50" s="304"/>
      <c r="F50" s="304">
        <v>15</v>
      </c>
      <c r="G50" s="305">
        <f>H50/F50</f>
        <v>129.80000000000001</v>
      </c>
      <c r="H50" s="306">
        <v>1947</v>
      </c>
      <c r="I50" s="201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</row>
    <row r="51" spans="1:37" s="5" customFormat="1" ht="21.75" customHeight="1" x14ac:dyDescent="0.2">
      <c r="A51" s="302">
        <v>3</v>
      </c>
      <c r="B51" s="302" t="s">
        <v>430</v>
      </c>
      <c r="C51" s="293" t="s">
        <v>315</v>
      </c>
      <c r="D51" s="304" t="s">
        <v>112</v>
      </c>
      <c r="E51" s="304" t="s">
        <v>159</v>
      </c>
      <c r="F51" s="304">
        <v>15</v>
      </c>
      <c r="G51" s="305">
        <v>100</v>
      </c>
      <c r="H51" s="306">
        <v>1500</v>
      </c>
      <c r="I51" s="199"/>
      <c r="J51" s="195"/>
      <c r="K51" s="195"/>
      <c r="L51" s="195"/>
      <c r="M51" s="195"/>
      <c r="N51" s="195"/>
      <c r="O51" s="193"/>
      <c r="P51" s="198"/>
      <c r="Q51" s="193"/>
      <c r="R51" s="193"/>
      <c r="S51" s="193"/>
      <c r="T51" s="193"/>
      <c r="U51" s="197"/>
      <c r="V51" s="193"/>
      <c r="W51" s="193"/>
      <c r="X51" s="193"/>
      <c r="Y51" s="193"/>
      <c r="Z51" s="193"/>
      <c r="AA51" s="196"/>
      <c r="AB51" s="193"/>
      <c r="AC51" s="193"/>
      <c r="AD51" s="193"/>
      <c r="AE51" s="195"/>
      <c r="AF51" s="195"/>
      <c r="AG51" s="194"/>
      <c r="AH51" s="193"/>
      <c r="AI51" s="193">
        <v>2000</v>
      </c>
      <c r="AJ51" s="200"/>
      <c r="AK51" s="49"/>
    </row>
    <row r="52" spans="1:37" s="5" customFormat="1" ht="26.25" customHeight="1" x14ac:dyDescent="0.2">
      <c r="A52" s="302">
        <v>4</v>
      </c>
      <c r="B52" s="302" t="s">
        <v>430</v>
      </c>
      <c r="C52" s="293" t="s">
        <v>316</v>
      </c>
      <c r="D52" s="303" t="s">
        <v>143</v>
      </c>
      <c r="E52" s="304" t="s">
        <v>158</v>
      </c>
      <c r="F52" s="304">
        <v>15</v>
      </c>
      <c r="G52" s="305">
        <v>105.33</v>
      </c>
      <c r="H52" s="306">
        <v>1580</v>
      </c>
      <c r="I52" s="199"/>
      <c r="J52" s="195"/>
      <c r="K52" s="195"/>
      <c r="L52" s="195"/>
      <c r="M52" s="195"/>
      <c r="N52" s="195"/>
      <c r="O52" s="193"/>
      <c r="P52" s="198"/>
      <c r="Q52" s="193"/>
      <c r="R52" s="193"/>
      <c r="S52" s="193"/>
      <c r="T52" s="193"/>
      <c r="U52" s="197"/>
      <c r="V52" s="193"/>
      <c r="W52" s="193"/>
      <c r="X52" s="193"/>
      <c r="Y52" s="193"/>
      <c r="Z52" s="193"/>
      <c r="AA52" s="196"/>
      <c r="AB52" s="193"/>
      <c r="AC52" s="193"/>
      <c r="AD52" s="193"/>
      <c r="AE52" s="195"/>
      <c r="AF52" s="195"/>
      <c r="AG52" s="194"/>
      <c r="AH52" s="193"/>
      <c r="AI52" s="193">
        <v>1800</v>
      </c>
      <c r="AJ52" s="193"/>
      <c r="AK52" s="49"/>
    </row>
    <row r="53" spans="1:37" s="5" customFormat="1" ht="38.25" x14ac:dyDescent="0.2">
      <c r="A53" s="302">
        <v>5</v>
      </c>
      <c r="B53" s="302" t="s">
        <v>430</v>
      </c>
      <c r="C53" s="293" t="s">
        <v>179</v>
      </c>
      <c r="D53" s="303" t="s">
        <v>173</v>
      </c>
      <c r="E53" s="304" t="s">
        <v>381</v>
      </c>
      <c r="F53" s="304">
        <v>15</v>
      </c>
      <c r="G53" s="305">
        <f>H53/F53</f>
        <v>80</v>
      </c>
      <c r="H53" s="306">
        <v>1200</v>
      </c>
      <c r="I53" s="199"/>
      <c r="J53" s="195"/>
      <c r="K53" s="195"/>
      <c r="L53" s="195"/>
      <c r="M53" s="195"/>
      <c r="N53" s="195"/>
      <c r="O53" s="193"/>
      <c r="P53" s="198"/>
      <c r="Q53" s="193"/>
      <c r="R53" s="193"/>
      <c r="S53" s="193"/>
      <c r="T53" s="193"/>
      <c r="U53" s="197"/>
      <c r="V53" s="193"/>
      <c r="W53" s="193"/>
      <c r="X53" s="193"/>
      <c r="Y53" s="193"/>
      <c r="Z53" s="193"/>
      <c r="AA53" s="196"/>
      <c r="AB53" s="193"/>
      <c r="AC53" s="193"/>
      <c r="AD53" s="193"/>
      <c r="AE53" s="195"/>
      <c r="AF53" s="195"/>
      <c r="AG53" s="194"/>
      <c r="AH53" s="193"/>
      <c r="AI53" s="193"/>
      <c r="AJ53" s="193"/>
      <c r="AK53" s="49"/>
    </row>
    <row r="54" spans="1:37" ht="26.25" customHeight="1" thickBot="1" x14ac:dyDescent="0.25">
      <c r="A54" s="457" t="s">
        <v>17</v>
      </c>
      <c r="B54" s="382"/>
      <c r="C54" s="382"/>
      <c r="D54" s="382"/>
      <c r="E54" s="382"/>
      <c r="F54" s="382"/>
      <c r="G54" s="63"/>
      <c r="H54" s="231">
        <f>SUM(H49:H53)</f>
        <v>7727</v>
      </c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</row>
    <row r="55" spans="1:37" ht="13.5" thickTop="1" x14ac:dyDescent="0.2">
      <c r="A55" s="49"/>
      <c r="B55" s="49"/>
      <c r="C55" s="57"/>
      <c r="D55" s="57"/>
      <c r="E55" s="49"/>
      <c r="F55" s="49"/>
      <c r="G55" s="49"/>
      <c r="H55" s="227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</row>
    <row r="56" spans="1:37" x14ac:dyDescent="0.2">
      <c r="A56" s="49"/>
      <c r="B56" s="49"/>
      <c r="C56" s="57"/>
      <c r="D56" s="57"/>
      <c r="E56" s="49"/>
      <c r="F56" s="49"/>
      <c r="G56" s="49"/>
      <c r="H56" s="227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</row>
    <row r="57" spans="1:37" x14ac:dyDescent="0.2">
      <c r="A57" s="49"/>
      <c r="B57" s="49"/>
      <c r="C57" s="57"/>
      <c r="D57" s="57"/>
      <c r="E57" s="49"/>
      <c r="F57" s="49"/>
      <c r="G57" s="49"/>
      <c r="H57" s="227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</row>
    <row r="58" spans="1:37" ht="13.5" thickBot="1" x14ac:dyDescent="0.25">
      <c r="A58" s="60"/>
      <c r="B58" s="60"/>
      <c r="C58" s="61"/>
      <c r="D58" s="61"/>
      <c r="E58" s="49"/>
      <c r="F58" s="49"/>
      <c r="G58" s="49"/>
      <c r="H58" s="227"/>
      <c r="I58" s="60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60"/>
    </row>
    <row r="59" spans="1:37" ht="15" customHeight="1" x14ac:dyDescent="0.2">
      <c r="A59" s="440" t="s">
        <v>151</v>
      </c>
      <c r="B59" s="440"/>
      <c r="C59" s="440"/>
      <c r="D59" s="440"/>
      <c r="E59" s="49"/>
      <c r="F59" s="49"/>
      <c r="G59" s="49"/>
      <c r="H59" s="227"/>
      <c r="I59" s="458" t="s">
        <v>382</v>
      </c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8"/>
    </row>
    <row r="60" spans="1:37" ht="20.25" customHeight="1" x14ac:dyDescent="0.2">
      <c r="A60" s="451" t="s">
        <v>141</v>
      </c>
      <c r="B60" s="451"/>
      <c r="C60" s="451"/>
      <c r="D60" s="451"/>
      <c r="E60" s="49"/>
      <c r="F60" s="49"/>
      <c r="G60" s="49"/>
      <c r="H60" s="227"/>
      <c r="I60" s="452" t="s">
        <v>106</v>
      </c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452"/>
      <c r="Z60" s="452"/>
      <c r="AA60" s="452"/>
      <c r="AB60" s="452"/>
      <c r="AC60" s="452"/>
      <c r="AD60" s="452"/>
      <c r="AE60" s="452"/>
      <c r="AF60" s="452"/>
      <c r="AG60" s="452"/>
      <c r="AH60" s="452"/>
      <c r="AI60" s="452"/>
      <c r="AJ60" s="452"/>
      <c r="AK60" s="452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92"/>
    </row>
    <row r="64" spans="1:37" ht="15.75" x14ac:dyDescent="0.25">
      <c r="C64" s="35"/>
      <c r="D64" s="36"/>
      <c r="E64" s="5"/>
      <c r="F64" s="5"/>
      <c r="G64" s="5"/>
      <c r="I64" s="5"/>
      <c r="J64" s="192"/>
    </row>
    <row r="65" spans="3:10" ht="15.75" x14ac:dyDescent="0.25">
      <c r="C65" s="35"/>
      <c r="D65" s="36"/>
      <c r="E65" s="5"/>
      <c r="F65" s="5"/>
      <c r="G65" s="5"/>
      <c r="I65" s="5"/>
      <c r="J65" s="192"/>
    </row>
    <row r="66" spans="3:10" ht="15.75" x14ac:dyDescent="0.25">
      <c r="C66" s="35"/>
      <c r="D66" s="36"/>
      <c r="E66" s="5"/>
      <c r="F66" s="5" t="s">
        <v>95</v>
      </c>
      <c r="G66" s="5" t="s">
        <v>95</v>
      </c>
      <c r="H66" s="232">
        <f>SUM(H49:H53)</f>
        <v>7727</v>
      </c>
      <c r="I66" s="5"/>
      <c r="J66" s="192"/>
    </row>
    <row r="69" spans="3:10" x14ac:dyDescent="0.2">
      <c r="F69" t="s">
        <v>370</v>
      </c>
      <c r="H69" s="232">
        <f>H66+H67:H67</f>
        <v>7727</v>
      </c>
    </row>
  </sheetData>
  <mergeCells count="20"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  <mergeCell ref="C3:I3"/>
    <mergeCell ref="A6:I6"/>
    <mergeCell ref="A7:A9"/>
    <mergeCell ref="C7:C9"/>
    <mergeCell ref="D7:D9"/>
    <mergeCell ref="H7:H9"/>
    <mergeCell ref="I7:I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0"/>
  <sheetViews>
    <sheetView showGridLines="0" zoomScale="84" zoomScaleNormal="84" workbookViewId="0">
      <selection activeCell="F8" sqref="F8:F34"/>
    </sheetView>
  </sheetViews>
  <sheetFormatPr baseColWidth="10" defaultColWidth="11.42578125" defaultRowHeight="14.25" x14ac:dyDescent="0.2"/>
  <cols>
    <col min="1" max="1" width="2.7109375" style="28" customWidth="1"/>
    <col min="2" max="3" width="4.5703125" style="28" customWidth="1"/>
    <col min="4" max="4" width="38.85546875" style="84" bestFit="1" customWidth="1"/>
    <col min="5" max="5" width="14.42578125" style="85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77" customWidth="1"/>
    <col min="11" max="11" width="11.5703125" style="25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28"/>
  </cols>
  <sheetData>
    <row r="1" spans="1:14" x14ac:dyDescent="0.2">
      <c r="B1" s="140"/>
      <c r="C1" s="242"/>
      <c r="D1" s="141"/>
      <c r="E1" s="142"/>
      <c r="F1" s="143"/>
      <c r="G1" s="143"/>
      <c r="H1" s="143"/>
      <c r="I1" s="143"/>
      <c r="J1" s="184"/>
      <c r="K1" s="143"/>
      <c r="L1" s="143"/>
      <c r="M1" s="143"/>
      <c r="N1" s="144"/>
    </row>
    <row r="2" spans="1:14" ht="36" customHeight="1" x14ac:dyDescent="0.2">
      <c r="B2" s="145"/>
      <c r="C2" s="243"/>
      <c r="E2" s="411" t="s">
        <v>364</v>
      </c>
      <c r="F2" s="411"/>
      <c r="G2" s="411"/>
      <c r="H2" s="411"/>
      <c r="I2" s="411"/>
      <c r="J2" s="411"/>
      <c r="K2" s="411"/>
      <c r="L2" s="146"/>
      <c r="M2" s="146"/>
      <c r="N2" s="147"/>
    </row>
    <row r="3" spans="1:14" x14ac:dyDescent="0.2">
      <c r="B3" s="145"/>
      <c r="C3" s="243"/>
      <c r="E3" s="148"/>
      <c r="F3" s="146"/>
      <c r="G3" s="146"/>
      <c r="H3" s="146"/>
      <c r="I3" s="146"/>
      <c r="J3" s="185"/>
      <c r="K3" s="146"/>
      <c r="L3" s="146"/>
      <c r="M3" s="146"/>
      <c r="N3" s="147"/>
    </row>
    <row r="4" spans="1:14" x14ac:dyDescent="0.2">
      <c r="B4" s="145"/>
      <c r="C4" s="243"/>
      <c r="E4" s="148"/>
      <c r="F4" s="146"/>
      <c r="G4" s="146"/>
      <c r="H4" s="146"/>
      <c r="I4" s="146"/>
      <c r="J4" s="185"/>
      <c r="K4" s="146"/>
      <c r="L4" s="146"/>
      <c r="M4" s="146"/>
      <c r="N4" s="147"/>
    </row>
    <row r="5" spans="1:14" ht="28.5" customHeight="1" x14ac:dyDescent="0.2">
      <c r="B5" s="149"/>
      <c r="C5" s="39"/>
      <c r="E5" s="411" t="s">
        <v>165</v>
      </c>
      <c r="F5" s="411"/>
      <c r="G5" s="411"/>
      <c r="H5" s="411"/>
      <c r="I5" s="411"/>
      <c r="J5" s="411"/>
      <c r="K5" s="411"/>
      <c r="L5" s="413"/>
      <c r="M5" s="413"/>
      <c r="N5" s="414"/>
    </row>
    <row r="6" spans="1:14" ht="31.5" customHeight="1" thickBot="1" x14ac:dyDescent="0.25">
      <c r="B6" s="150"/>
      <c r="C6" s="39"/>
      <c r="D6" s="463" t="s">
        <v>498</v>
      </c>
      <c r="E6" s="463"/>
      <c r="F6" s="463"/>
      <c r="G6" s="463"/>
      <c r="H6" s="463"/>
      <c r="I6" s="463"/>
      <c r="J6" s="463"/>
      <c r="K6" s="463"/>
      <c r="L6" s="151"/>
      <c r="M6" s="151"/>
      <c r="N6" s="152"/>
    </row>
    <row r="7" spans="1:14" s="27" customFormat="1" ht="37.5" customHeight="1" x14ac:dyDescent="0.2">
      <c r="A7" s="28"/>
      <c r="B7" s="114" t="s">
        <v>357</v>
      </c>
      <c r="C7" s="244" t="s">
        <v>430</v>
      </c>
      <c r="D7" s="115" t="s">
        <v>14</v>
      </c>
      <c r="E7" s="115" t="s">
        <v>351</v>
      </c>
      <c r="F7" s="115" t="s">
        <v>352</v>
      </c>
      <c r="G7" s="115" t="s">
        <v>355</v>
      </c>
      <c r="H7" s="115" t="s">
        <v>356</v>
      </c>
      <c r="I7" s="116" t="s">
        <v>353</v>
      </c>
      <c r="J7" s="186" t="s">
        <v>375</v>
      </c>
      <c r="K7" s="115" t="s">
        <v>376</v>
      </c>
      <c r="L7" s="117" t="s">
        <v>354</v>
      </c>
      <c r="M7" s="117" t="s">
        <v>363</v>
      </c>
      <c r="N7" s="133" t="s">
        <v>362</v>
      </c>
    </row>
    <row r="8" spans="1:14" s="27" customFormat="1" ht="30" customHeight="1" x14ac:dyDescent="0.2">
      <c r="A8" s="28"/>
      <c r="B8" s="307">
        <v>1</v>
      </c>
      <c r="C8" s="308" t="s">
        <v>430</v>
      </c>
      <c r="D8" s="309" t="s">
        <v>189</v>
      </c>
      <c r="E8" s="104" t="s">
        <v>36</v>
      </c>
      <c r="F8" s="109"/>
      <c r="G8" s="74">
        <v>15</v>
      </c>
      <c r="H8" s="310">
        <v>613.53300000000002</v>
      </c>
      <c r="I8" s="75">
        <f>ROUND(G8*H8,2)</f>
        <v>9203</v>
      </c>
      <c r="J8" s="188">
        <f t="shared" ref="J8:J34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76">
        <f t="shared" ref="K8:K34" si="1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1142.74</v>
      </c>
      <c r="L8" s="76">
        <f>K8</f>
        <v>1142.74</v>
      </c>
      <c r="M8" s="76">
        <f>I8+J8-L8</f>
        <v>8060.26</v>
      </c>
      <c r="N8" s="153"/>
    </row>
    <row r="9" spans="1:14" s="27" customFormat="1" ht="30" customHeight="1" x14ac:dyDescent="0.2">
      <c r="A9" s="28"/>
      <c r="B9" s="307">
        <v>2</v>
      </c>
      <c r="C9" s="308"/>
      <c r="D9" s="309" t="s">
        <v>190</v>
      </c>
      <c r="E9" s="104" t="s">
        <v>177</v>
      </c>
      <c r="F9" s="109"/>
      <c r="G9" s="74">
        <v>15</v>
      </c>
      <c r="H9" s="310">
        <v>453.33330000000001</v>
      </c>
      <c r="I9" s="75">
        <f t="shared" ref="I9:I20" si="2">ROUND(G9*H9,2)</f>
        <v>6800</v>
      </c>
      <c r="J9" s="188">
        <f t="shared" si="0"/>
        <v>0</v>
      </c>
      <c r="K9" s="76">
        <f t="shared" si="1"/>
        <v>658.42</v>
      </c>
      <c r="L9" s="76">
        <f t="shared" ref="L9:L34" si="3">K9</f>
        <v>658.42</v>
      </c>
      <c r="M9" s="76">
        <f t="shared" ref="M9:M34" si="4">I9+J9-L9</f>
        <v>6141.58</v>
      </c>
      <c r="N9" s="153"/>
    </row>
    <row r="10" spans="1:14" s="29" customFormat="1" ht="30" customHeight="1" x14ac:dyDescent="0.2">
      <c r="A10" s="5"/>
      <c r="B10" s="307">
        <v>3</v>
      </c>
      <c r="C10" s="308"/>
      <c r="D10" s="309" t="s">
        <v>198</v>
      </c>
      <c r="E10" s="104" t="s">
        <v>70</v>
      </c>
      <c r="F10" s="109"/>
      <c r="G10" s="74">
        <v>15</v>
      </c>
      <c r="H10" s="310">
        <v>326.93299999999999</v>
      </c>
      <c r="I10" s="75">
        <f t="shared" si="2"/>
        <v>4904</v>
      </c>
      <c r="J10" s="188">
        <f t="shared" si="0"/>
        <v>0</v>
      </c>
      <c r="K10" s="76">
        <f t="shared" si="1"/>
        <v>377.09</v>
      </c>
      <c r="L10" s="76">
        <f t="shared" si="3"/>
        <v>377.09</v>
      </c>
      <c r="M10" s="76">
        <f t="shared" si="4"/>
        <v>4526.91</v>
      </c>
      <c r="N10" s="153"/>
    </row>
    <row r="11" spans="1:14" s="29" customFormat="1" ht="30" customHeight="1" x14ac:dyDescent="0.2">
      <c r="A11" s="5"/>
      <c r="B11" s="307">
        <v>4</v>
      </c>
      <c r="C11" s="308" t="s">
        <v>430</v>
      </c>
      <c r="D11" s="309" t="s">
        <v>193</v>
      </c>
      <c r="E11" s="104" t="s">
        <v>181</v>
      </c>
      <c r="F11" s="109"/>
      <c r="G11" s="74">
        <v>15</v>
      </c>
      <c r="H11" s="310">
        <v>378.6</v>
      </c>
      <c r="I11" s="75">
        <f>ROUND(G11*H11,2)</f>
        <v>5679</v>
      </c>
      <c r="J11" s="188">
        <f t="shared" si="0"/>
        <v>0</v>
      </c>
      <c r="K11" s="76">
        <f t="shared" si="1"/>
        <v>471.05</v>
      </c>
      <c r="L11" s="76">
        <f t="shared" si="3"/>
        <v>471.05</v>
      </c>
      <c r="M11" s="76">
        <f t="shared" si="4"/>
        <v>5207.95</v>
      </c>
      <c r="N11" s="153"/>
    </row>
    <row r="12" spans="1:14" s="27" customFormat="1" ht="30" customHeight="1" x14ac:dyDescent="0.2">
      <c r="A12" s="28"/>
      <c r="B12" s="307">
        <v>5</v>
      </c>
      <c r="C12" s="308"/>
      <c r="D12" s="309" t="s">
        <v>191</v>
      </c>
      <c r="E12" s="104" t="s">
        <v>70</v>
      </c>
      <c r="F12" s="109"/>
      <c r="G12" s="74">
        <v>15</v>
      </c>
      <c r="H12" s="310">
        <v>326.93299999999999</v>
      </c>
      <c r="I12" s="75">
        <f t="shared" si="2"/>
        <v>4904</v>
      </c>
      <c r="J12" s="188">
        <f t="shared" si="0"/>
        <v>0</v>
      </c>
      <c r="K12" s="76">
        <f t="shared" si="1"/>
        <v>377.09</v>
      </c>
      <c r="L12" s="76">
        <f t="shared" si="3"/>
        <v>377.09</v>
      </c>
      <c r="M12" s="76">
        <f t="shared" si="4"/>
        <v>4526.91</v>
      </c>
      <c r="N12" s="153"/>
    </row>
    <row r="13" spans="1:14" s="27" customFormat="1" ht="30" customHeight="1" x14ac:dyDescent="0.2">
      <c r="A13" s="28"/>
      <c r="B13" s="307">
        <v>6</v>
      </c>
      <c r="C13" s="308"/>
      <c r="D13" s="309" t="s">
        <v>192</v>
      </c>
      <c r="E13" s="104" t="s">
        <v>70</v>
      </c>
      <c r="F13" s="109"/>
      <c r="G13" s="74">
        <v>15</v>
      </c>
      <c r="H13" s="310">
        <v>326.93299999999999</v>
      </c>
      <c r="I13" s="75">
        <f t="shared" si="2"/>
        <v>4904</v>
      </c>
      <c r="J13" s="188">
        <f t="shared" si="0"/>
        <v>0</v>
      </c>
      <c r="K13" s="76">
        <f t="shared" si="1"/>
        <v>377.09</v>
      </c>
      <c r="L13" s="76">
        <f t="shared" si="3"/>
        <v>377.09</v>
      </c>
      <c r="M13" s="76">
        <f t="shared" si="4"/>
        <v>4526.91</v>
      </c>
      <c r="N13" s="153"/>
    </row>
    <row r="14" spans="1:14" s="93" customFormat="1" ht="30" customHeight="1" x14ac:dyDescent="0.2">
      <c r="A14" s="5"/>
      <c r="B14" s="307">
        <v>7</v>
      </c>
      <c r="C14" s="308" t="s">
        <v>430</v>
      </c>
      <c r="D14" s="309" t="s">
        <v>194</v>
      </c>
      <c r="E14" s="104" t="s">
        <v>181</v>
      </c>
      <c r="F14" s="109"/>
      <c r="G14" s="74">
        <v>15</v>
      </c>
      <c r="H14" s="310">
        <v>378.6</v>
      </c>
      <c r="I14" s="75">
        <f>ROUND(G14*H14,2)</f>
        <v>5679</v>
      </c>
      <c r="J14" s="188">
        <f t="shared" si="0"/>
        <v>0</v>
      </c>
      <c r="K14" s="76">
        <f t="shared" si="1"/>
        <v>471.05</v>
      </c>
      <c r="L14" s="76">
        <f t="shared" si="3"/>
        <v>471.05</v>
      </c>
      <c r="M14" s="76">
        <f t="shared" si="4"/>
        <v>5207.95</v>
      </c>
      <c r="N14" s="153"/>
    </row>
    <row r="15" spans="1:14" ht="30" customHeight="1" x14ac:dyDescent="0.2">
      <c r="B15" s="307">
        <v>8</v>
      </c>
      <c r="C15" s="308" t="s">
        <v>430</v>
      </c>
      <c r="D15" s="309" t="s">
        <v>195</v>
      </c>
      <c r="E15" s="104" t="s">
        <v>70</v>
      </c>
      <c r="F15" s="109"/>
      <c r="G15" s="74">
        <v>15</v>
      </c>
      <c r="H15" s="310">
        <v>326.93299999999999</v>
      </c>
      <c r="I15" s="75">
        <f t="shared" si="2"/>
        <v>4904</v>
      </c>
      <c r="J15" s="188">
        <f t="shared" si="0"/>
        <v>0</v>
      </c>
      <c r="K15" s="76">
        <f t="shared" si="1"/>
        <v>377.09</v>
      </c>
      <c r="L15" s="76">
        <f t="shared" si="3"/>
        <v>377.09</v>
      </c>
      <c r="M15" s="76">
        <f t="shared" si="4"/>
        <v>4526.91</v>
      </c>
      <c r="N15" s="153"/>
    </row>
    <row r="16" spans="1:14" s="29" customFormat="1" ht="30" customHeight="1" x14ac:dyDescent="0.2">
      <c r="A16" s="5"/>
      <c r="B16" s="307">
        <v>9</v>
      </c>
      <c r="C16" s="308" t="s">
        <v>430</v>
      </c>
      <c r="D16" s="309" t="s">
        <v>450</v>
      </c>
      <c r="E16" s="104" t="s">
        <v>70</v>
      </c>
      <c r="F16" s="109"/>
      <c r="G16" s="74">
        <v>15</v>
      </c>
      <c r="H16" s="310">
        <v>326.93</v>
      </c>
      <c r="I16" s="75">
        <f t="shared" si="2"/>
        <v>4903.95</v>
      </c>
      <c r="J16" s="188">
        <f t="shared" si="0"/>
        <v>0</v>
      </c>
      <c r="K16" s="76">
        <f t="shared" si="1"/>
        <v>377.09</v>
      </c>
      <c r="L16" s="76">
        <f t="shared" si="3"/>
        <v>377.09</v>
      </c>
      <c r="M16" s="76">
        <f t="shared" si="4"/>
        <v>4526.8599999999997</v>
      </c>
      <c r="N16" s="153"/>
    </row>
    <row r="17" spans="1:14" s="29" customFormat="1" ht="30" customHeight="1" x14ac:dyDescent="0.2">
      <c r="A17" s="5"/>
      <c r="B17" s="307">
        <v>10</v>
      </c>
      <c r="C17" s="308" t="s">
        <v>430</v>
      </c>
      <c r="D17" s="309" t="s">
        <v>495</v>
      </c>
      <c r="E17" s="104" t="s">
        <v>70</v>
      </c>
      <c r="F17" s="109"/>
      <c r="G17" s="74">
        <v>15</v>
      </c>
      <c r="H17" s="310">
        <v>326.93299999999999</v>
      </c>
      <c r="I17" s="75">
        <f t="shared" si="2"/>
        <v>4904</v>
      </c>
      <c r="J17" s="188">
        <f t="shared" si="0"/>
        <v>0</v>
      </c>
      <c r="K17" s="76">
        <f t="shared" si="1"/>
        <v>377.09</v>
      </c>
      <c r="L17" s="76">
        <f t="shared" si="3"/>
        <v>377.09</v>
      </c>
      <c r="M17" s="76">
        <f t="shared" si="4"/>
        <v>4526.91</v>
      </c>
      <c r="N17" s="153"/>
    </row>
    <row r="18" spans="1:14" s="29" customFormat="1" ht="30" customHeight="1" x14ac:dyDescent="0.2">
      <c r="A18" s="5"/>
      <c r="B18" s="307">
        <v>11</v>
      </c>
      <c r="C18" s="308" t="s">
        <v>430</v>
      </c>
      <c r="D18" s="309" t="s">
        <v>196</v>
      </c>
      <c r="E18" s="104" t="s">
        <v>169</v>
      </c>
      <c r="F18" s="105"/>
      <c r="G18" s="65">
        <v>15</v>
      </c>
      <c r="H18" s="311">
        <v>212.4</v>
      </c>
      <c r="I18" s="75">
        <f t="shared" si="2"/>
        <v>3186</v>
      </c>
      <c r="J18" s="188">
        <f t="shared" si="0"/>
        <v>0</v>
      </c>
      <c r="K18" s="76">
        <f t="shared" si="1"/>
        <v>65.069999999999993</v>
      </c>
      <c r="L18" s="76">
        <f t="shared" si="3"/>
        <v>65.069999999999993</v>
      </c>
      <c r="M18" s="76">
        <f t="shared" si="4"/>
        <v>3120.93</v>
      </c>
      <c r="N18" s="153"/>
    </row>
    <row r="19" spans="1:14" s="27" customFormat="1" ht="30" customHeight="1" x14ac:dyDescent="0.2">
      <c r="A19" s="28"/>
      <c r="B19" s="307">
        <v>12</v>
      </c>
      <c r="C19" s="308" t="s">
        <v>430</v>
      </c>
      <c r="D19" s="309" t="s">
        <v>197</v>
      </c>
      <c r="E19" s="104" t="s">
        <v>134</v>
      </c>
      <c r="F19" s="111"/>
      <c r="G19" s="74">
        <v>15</v>
      </c>
      <c r="H19" s="310">
        <v>326.93299999999999</v>
      </c>
      <c r="I19" s="75">
        <f t="shared" si="2"/>
        <v>4904</v>
      </c>
      <c r="J19" s="188">
        <f t="shared" si="0"/>
        <v>0</v>
      </c>
      <c r="K19" s="76">
        <f t="shared" si="1"/>
        <v>377.09</v>
      </c>
      <c r="L19" s="76">
        <f t="shared" si="3"/>
        <v>377.09</v>
      </c>
      <c r="M19" s="76">
        <f t="shared" si="4"/>
        <v>4526.91</v>
      </c>
      <c r="N19" s="153"/>
    </row>
    <row r="20" spans="1:14" s="27" customFormat="1" ht="30" customHeight="1" x14ac:dyDescent="0.2">
      <c r="A20" s="28"/>
      <c r="B20" s="307">
        <v>13</v>
      </c>
      <c r="C20" s="308" t="s">
        <v>430</v>
      </c>
      <c r="D20" s="309" t="s">
        <v>161</v>
      </c>
      <c r="E20" s="104" t="s">
        <v>70</v>
      </c>
      <c r="F20" s="111"/>
      <c r="G20" s="74">
        <v>15</v>
      </c>
      <c r="H20" s="310">
        <v>326.93299999999999</v>
      </c>
      <c r="I20" s="75">
        <f t="shared" si="2"/>
        <v>4904</v>
      </c>
      <c r="J20" s="188">
        <f t="shared" si="0"/>
        <v>0</v>
      </c>
      <c r="K20" s="76">
        <f t="shared" si="1"/>
        <v>377.09</v>
      </c>
      <c r="L20" s="76">
        <f t="shared" si="3"/>
        <v>377.09</v>
      </c>
      <c r="M20" s="76">
        <f t="shared" si="4"/>
        <v>4526.91</v>
      </c>
      <c r="N20" s="153"/>
    </row>
    <row r="21" spans="1:14" s="88" customFormat="1" ht="30" customHeight="1" x14ac:dyDescent="0.2">
      <c r="B21" s="307">
        <v>14</v>
      </c>
      <c r="C21" s="308"/>
      <c r="D21" s="251" t="s">
        <v>460</v>
      </c>
      <c r="E21" s="104" t="s">
        <v>70</v>
      </c>
      <c r="F21" s="109"/>
      <c r="G21" s="74">
        <v>15</v>
      </c>
      <c r="H21" s="310">
        <v>326.93299999999999</v>
      </c>
      <c r="I21" s="75">
        <f>ROUND(G21*H21,2)</f>
        <v>4904</v>
      </c>
      <c r="J21" s="188">
        <f t="shared" si="0"/>
        <v>0</v>
      </c>
      <c r="K21" s="76">
        <f t="shared" si="1"/>
        <v>377.09</v>
      </c>
      <c r="L21" s="76">
        <f t="shared" si="3"/>
        <v>377.09</v>
      </c>
      <c r="M21" s="76">
        <f t="shared" si="4"/>
        <v>4526.91</v>
      </c>
      <c r="N21" s="153"/>
    </row>
    <row r="22" spans="1:14" ht="30" customHeight="1" x14ac:dyDescent="0.2">
      <c r="B22" s="307">
        <v>15</v>
      </c>
      <c r="C22" s="308"/>
      <c r="D22" s="312" t="s">
        <v>349</v>
      </c>
      <c r="E22" s="104" t="s">
        <v>70</v>
      </c>
      <c r="F22" s="109"/>
      <c r="G22" s="74">
        <v>15</v>
      </c>
      <c r="H22" s="310">
        <v>326.93299999999999</v>
      </c>
      <c r="I22" s="75">
        <f t="shared" ref="I22:I34" si="5">ROUND(G22*H22,2)</f>
        <v>4904</v>
      </c>
      <c r="J22" s="188">
        <f t="shared" si="0"/>
        <v>0</v>
      </c>
      <c r="K22" s="76">
        <f t="shared" si="1"/>
        <v>377.09</v>
      </c>
      <c r="L22" s="76">
        <f t="shared" si="3"/>
        <v>377.09</v>
      </c>
      <c r="M22" s="76">
        <f t="shared" si="4"/>
        <v>4526.91</v>
      </c>
      <c r="N22" s="153"/>
    </row>
    <row r="23" spans="1:14" ht="30" customHeight="1" x14ac:dyDescent="0.2">
      <c r="B23" s="307">
        <v>16</v>
      </c>
      <c r="C23" s="308" t="s">
        <v>430</v>
      </c>
      <c r="D23" s="312" t="s">
        <v>434</v>
      </c>
      <c r="E23" s="104" t="s">
        <v>70</v>
      </c>
      <c r="F23" s="109"/>
      <c r="G23" s="74">
        <v>15</v>
      </c>
      <c r="H23" s="310">
        <v>326.93299999999999</v>
      </c>
      <c r="I23" s="75">
        <f t="shared" si="5"/>
        <v>4904</v>
      </c>
      <c r="J23" s="188">
        <f t="shared" ref="J23:J29" si="6"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76">
        <f t="shared" ref="K23:K29" si="7"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377.09</v>
      </c>
      <c r="L23" s="76">
        <f t="shared" ref="L23:L29" si="8">K23</f>
        <v>377.09</v>
      </c>
      <c r="M23" s="76">
        <f t="shared" ref="M23:M29" si="9">I23+J23-L23</f>
        <v>4526.91</v>
      </c>
      <c r="N23" s="153"/>
    </row>
    <row r="24" spans="1:14" ht="30" customHeight="1" x14ac:dyDescent="0.2">
      <c r="B24" s="307">
        <v>17</v>
      </c>
      <c r="C24" s="308" t="s">
        <v>430</v>
      </c>
      <c r="D24" s="312" t="s">
        <v>435</v>
      </c>
      <c r="E24" s="104" t="s">
        <v>70</v>
      </c>
      <c r="F24" s="109"/>
      <c r="G24" s="74">
        <v>15</v>
      </c>
      <c r="H24" s="310">
        <v>326.93299999999999</v>
      </c>
      <c r="I24" s="75">
        <f t="shared" si="5"/>
        <v>4904</v>
      </c>
      <c r="J24" s="188">
        <f t="shared" si="6"/>
        <v>0</v>
      </c>
      <c r="K24" s="76">
        <f t="shared" si="7"/>
        <v>377.09</v>
      </c>
      <c r="L24" s="76">
        <f t="shared" si="8"/>
        <v>377.09</v>
      </c>
      <c r="M24" s="76">
        <f t="shared" si="9"/>
        <v>4526.91</v>
      </c>
      <c r="N24" s="153"/>
    </row>
    <row r="25" spans="1:14" ht="30" customHeight="1" x14ac:dyDescent="0.2">
      <c r="B25" s="307">
        <v>18</v>
      </c>
      <c r="C25" s="308"/>
      <c r="D25" s="258" t="s">
        <v>175</v>
      </c>
      <c r="E25" s="293" t="s">
        <v>70</v>
      </c>
      <c r="F25" s="315"/>
      <c r="G25" s="284">
        <v>15</v>
      </c>
      <c r="H25" s="310">
        <v>326.93299999999999</v>
      </c>
      <c r="I25" s="75">
        <f t="shared" si="5"/>
        <v>4904</v>
      </c>
      <c r="J25" s="188">
        <f t="shared" si="6"/>
        <v>0</v>
      </c>
      <c r="K25" s="76">
        <f t="shared" si="7"/>
        <v>377.09</v>
      </c>
      <c r="L25" s="76">
        <f t="shared" si="8"/>
        <v>377.09</v>
      </c>
      <c r="M25" s="76">
        <f t="shared" si="9"/>
        <v>4526.91</v>
      </c>
      <c r="N25" s="153"/>
    </row>
    <row r="26" spans="1:14" ht="30" customHeight="1" x14ac:dyDescent="0.2">
      <c r="B26" s="307">
        <v>19</v>
      </c>
      <c r="C26" s="308"/>
      <c r="D26" s="312" t="s">
        <v>443</v>
      </c>
      <c r="E26" s="104" t="s">
        <v>70</v>
      </c>
      <c r="F26" s="317"/>
      <c r="G26" s="74">
        <v>15</v>
      </c>
      <c r="H26" s="310">
        <v>326.93299999999999</v>
      </c>
      <c r="I26" s="75">
        <f t="shared" si="5"/>
        <v>4904</v>
      </c>
      <c r="J26" s="188">
        <f t="shared" si="6"/>
        <v>0</v>
      </c>
      <c r="K26" s="76">
        <f t="shared" si="7"/>
        <v>377.09</v>
      </c>
      <c r="L26" s="76">
        <f t="shared" si="8"/>
        <v>377.09</v>
      </c>
      <c r="M26" s="76">
        <f t="shared" si="9"/>
        <v>4526.91</v>
      </c>
      <c r="N26" s="153"/>
    </row>
    <row r="27" spans="1:14" ht="30" customHeight="1" x14ac:dyDescent="0.2">
      <c r="B27" s="307">
        <v>20</v>
      </c>
      <c r="C27" s="308"/>
      <c r="D27" s="312" t="s">
        <v>457</v>
      </c>
      <c r="E27" s="104" t="s">
        <v>70</v>
      </c>
      <c r="F27" s="317"/>
      <c r="G27" s="74">
        <v>15</v>
      </c>
      <c r="H27" s="310">
        <v>326.93299999999999</v>
      </c>
      <c r="I27" s="75">
        <f t="shared" si="5"/>
        <v>4904</v>
      </c>
      <c r="J27" s="188">
        <f t="shared" si="6"/>
        <v>0</v>
      </c>
      <c r="K27" s="76">
        <f t="shared" si="7"/>
        <v>377.09</v>
      </c>
      <c r="L27" s="76">
        <f t="shared" si="8"/>
        <v>377.09</v>
      </c>
      <c r="M27" s="76">
        <f t="shared" si="9"/>
        <v>4526.91</v>
      </c>
      <c r="N27" s="153"/>
    </row>
    <row r="28" spans="1:14" s="27" customFormat="1" ht="30" customHeight="1" x14ac:dyDescent="0.2">
      <c r="A28" s="28"/>
      <c r="B28" s="307">
        <v>21</v>
      </c>
      <c r="C28" s="308" t="s">
        <v>430</v>
      </c>
      <c r="D28" s="309" t="s">
        <v>446</v>
      </c>
      <c r="E28" s="104" t="s">
        <v>70</v>
      </c>
      <c r="F28" s="109"/>
      <c r="G28" s="74">
        <v>15</v>
      </c>
      <c r="H28" s="310">
        <v>326.93299999999999</v>
      </c>
      <c r="I28" s="75">
        <f t="shared" si="5"/>
        <v>4904</v>
      </c>
      <c r="J28" s="188">
        <f t="shared" si="6"/>
        <v>0</v>
      </c>
      <c r="K28" s="76">
        <f t="shared" si="7"/>
        <v>377.09</v>
      </c>
      <c r="L28" s="76">
        <f t="shared" si="8"/>
        <v>377.09</v>
      </c>
      <c r="M28" s="76">
        <f t="shared" si="9"/>
        <v>4526.91</v>
      </c>
      <c r="N28" s="153"/>
    </row>
    <row r="29" spans="1:14" s="27" customFormat="1" ht="30" customHeight="1" x14ac:dyDescent="0.2">
      <c r="A29" s="28"/>
      <c r="B29" s="307">
        <v>22</v>
      </c>
      <c r="C29" s="308" t="s">
        <v>430</v>
      </c>
      <c r="D29" s="309" t="s">
        <v>451</v>
      </c>
      <c r="E29" s="104" t="s">
        <v>70</v>
      </c>
      <c r="F29" s="109"/>
      <c r="G29" s="74">
        <v>15</v>
      </c>
      <c r="H29" s="310">
        <v>326.93299999999999</v>
      </c>
      <c r="I29" s="75">
        <f t="shared" si="5"/>
        <v>4904</v>
      </c>
      <c r="J29" s="188">
        <f t="shared" si="6"/>
        <v>0</v>
      </c>
      <c r="K29" s="76">
        <f t="shared" si="7"/>
        <v>377.09</v>
      </c>
      <c r="L29" s="76">
        <f t="shared" si="8"/>
        <v>377.09</v>
      </c>
      <c r="M29" s="76">
        <f t="shared" si="9"/>
        <v>4526.91</v>
      </c>
      <c r="N29" s="153"/>
    </row>
    <row r="30" spans="1:14" s="27" customFormat="1" ht="30" customHeight="1" x14ac:dyDescent="0.2">
      <c r="A30" s="28"/>
      <c r="B30" s="307">
        <v>23</v>
      </c>
      <c r="C30" s="308" t="s">
        <v>430</v>
      </c>
      <c r="D30" s="309" t="s">
        <v>462</v>
      </c>
      <c r="E30" s="104" t="s">
        <v>70</v>
      </c>
      <c r="F30" s="109"/>
      <c r="G30" s="74">
        <v>15</v>
      </c>
      <c r="H30" s="310">
        <v>326.93299999999999</v>
      </c>
      <c r="I30" s="75">
        <f t="shared" ref="I30" si="10">ROUND(G30*H30,2)</f>
        <v>4904</v>
      </c>
      <c r="J30" s="188">
        <f t="shared" ref="J30" si="11"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76">
        <f t="shared" ref="K30" si="12">IF(H30&lt;=207.44,0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377.09</v>
      </c>
      <c r="L30" s="76">
        <f t="shared" ref="L30" si="13">K30</f>
        <v>377.09</v>
      </c>
      <c r="M30" s="76">
        <f t="shared" ref="M30" si="14">I30+J30-L30</f>
        <v>4526.91</v>
      </c>
      <c r="N30" s="153"/>
    </row>
    <row r="31" spans="1:14" s="27" customFormat="1" ht="30" customHeight="1" x14ac:dyDescent="0.2">
      <c r="A31" s="28"/>
      <c r="B31" s="307">
        <v>24</v>
      </c>
      <c r="C31" s="308" t="s">
        <v>430</v>
      </c>
      <c r="D31" s="309" t="s">
        <v>467</v>
      </c>
      <c r="E31" s="104" t="s">
        <v>70</v>
      </c>
      <c r="F31" s="109"/>
      <c r="G31" s="74">
        <v>15</v>
      </c>
      <c r="H31" s="310">
        <v>326.93299999999999</v>
      </c>
      <c r="I31" s="75">
        <f t="shared" ref="I31" si="15">ROUND(G31*H31,2)</f>
        <v>4904</v>
      </c>
      <c r="J31" s="188">
        <f t="shared" ref="J31" si="16"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76">
        <f t="shared" ref="K31" si="17"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377.09</v>
      </c>
      <c r="L31" s="76">
        <f t="shared" ref="L31" si="18">K31</f>
        <v>377.09</v>
      </c>
      <c r="M31" s="76">
        <f t="shared" ref="M31" si="19">I31+J31-L31</f>
        <v>4526.91</v>
      </c>
      <c r="N31" s="153"/>
    </row>
    <row r="32" spans="1:14" s="27" customFormat="1" ht="30" customHeight="1" x14ac:dyDescent="0.2">
      <c r="A32" s="28"/>
      <c r="B32" s="307">
        <v>25</v>
      </c>
      <c r="C32" s="308"/>
      <c r="D32" s="309" t="s">
        <v>469</v>
      </c>
      <c r="E32" s="104" t="s">
        <v>70</v>
      </c>
      <c r="F32" s="109"/>
      <c r="G32" s="74">
        <v>15</v>
      </c>
      <c r="H32" s="310">
        <v>326.93299999999999</v>
      </c>
      <c r="I32" s="75">
        <f t="shared" ref="I32" si="20">ROUND(G32*H32,2)</f>
        <v>4904</v>
      </c>
      <c r="J32" s="188">
        <f t="shared" ref="J32" si="21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76">
        <f t="shared" ref="K32" si="22">IF(H32&lt;=207.44,0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377.09</v>
      </c>
      <c r="L32" s="76">
        <f t="shared" ref="L32" si="23">K32</f>
        <v>377.09</v>
      </c>
      <c r="M32" s="76">
        <f t="shared" ref="M32" si="24">I32+J32-L32</f>
        <v>4526.91</v>
      </c>
      <c r="N32" s="153"/>
    </row>
    <row r="33" spans="1:14" s="27" customFormat="1" ht="30" customHeight="1" x14ac:dyDescent="0.2">
      <c r="A33" s="28"/>
      <c r="B33" s="307">
        <v>26</v>
      </c>
      <c r="C33" s="308" t="s">
        <v>430</v>
      </c>
      <c r="D33" s="309" t="s">
        <v>491</v>
      </c>
      <c r="E33" s="104" t="s">
        <v>70</v>
      </c>
      <c r="F33" s="109"/>
      <c r="G33" s="74">
        <v>15</v>
      </c>
      <c r="H33" s="310">
        <v>326.93</v>
      </c>
      <c r="I33" s="75">
        <f t="shared" ref="I33" si="25">ROUND(G33*H33,2)</f>
        <v>4903.95</v>
      </c>
      <c r="J33" s="188">
        <f t="shared" ref="J33" si="26"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76">
        <f t="shared" ref="K33" si="27">IF(H33&lt;=207.44,0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377.09</v>
      </c>
      <c r="L33" s="76">
        <f t="shared" ref="L33" si="28">K33</f>
        <v>377.09</v>
      </c>
      <c r="M33" s="76">
        <f t="shared" ref="M33" si="29">I33+J33-L33</f>
        <v>4526.8599999999997</v>
      </c>
      <c r="N33" s="153"/>
    </row>
    <row r="34" spans="1:14" s="29" customFormat="1" ht="30" customHeight="1" x14ac:dyDescent="0.2">
      <c r="A34" s="5"/>
      <c r="B34" s="307">
        <v>27</v>
      </c>
      <c r="C34" s="308"/>
      <c r="D34" s="309" t="s">
        <v>199</v>
      </c>
      <c r="E34" s="104" t="s">
        <v>55</v>
      </c>
      <c r="F34" s="109"/>
      <c r="G34" s="65">
        <v>15</v>
      </c>
      <c r="H34" s="311">
        <v>100.7333</v>
      </c>
      <c r="I34" s="75">
        <f t="shared" si="5"/>
        <v>1511</v>
      </c>
      <c r="J34" s="188">
        <f t="shared" si="0"/>
        <v>120.42</v>
      </c>
      <c r="K34" s="188">
        <f t="shared" si="1"/>
        <v>0</v>
      </c>
      <c r="L34" s="76">
        <f t="shared" si="3"/>
        <v>0</v>
      </c>
      <c r="M34" s="76">
        <f t="shared" si="4"/>
        <v>1631.42</v>
      </c>
      <c r="N34" s="153"/>
    </row>
    <row r="35" spans="1:14" ht="24" customHeight="1" x14ac:dyDescent="0.2">
      <c r="B35" s="149"/>
      <c r="C35" s="39"/>
      <c r="E35" s="148"/>
      <c r="F35" s="154"/>
      <c r="G35" s="154"/>
      <c r="H35" s="154"/>
      <c r="I35" s="81"/>
      <c r="J35" s="189"/>
      <c r="K35" s="81"/>
      <c r="L35" s="81"/>
      <c r="M35" s="81"/>
      <c r="N35" s="155"/>
    </row>
    <row r="36" spans="1:14" ht="24" customHeight="1" thickBot="1" x14ac:dyDescent="0.25">
      <c r="B36" s="462" t="s">
        <v>17</v>
      </c>
      <c r="C36" s="436"/>
      <c r="D36" s="436"/>
      <c r="E36" s="436"/>
      <c r="F36" s="436"/>
      <c r="G36" s="436"/>
      <c r="H36" s="437"/>
      <c r="I36" s="82">
        <f>SUM(I8:I35)</f>
        <v>135041.9</v>
      </c>
      <c r="J36" s="190">
        <f>SUM(J8:J35)</f>
        <v>120.42</v>
      </c>
      <c r="K36" s="82">
        <f>SUM(K8:K35)</f>
        <v>10727.220000000003</v>
      </c>
      <c r="L36" s="82">
        <f>SUM(L8:L35)</f>
        <v>10727.220000000003</v>
      </c>
      <c r="M36" s="82">
        <f>SUM(M8:M34)</f>
        <v>124435.10000000005</v>
      </c>
      <c r="N36" s="156"/>
    </row>
    <row r="37" spans="1:14" ht="24" customHeight="1" thickTop="1" x14ac:dyDescent="0.2">
      <c r="B37" s="149"/>
      <c r="C37" s="39"/>
      <c r="E37" s="148"/>
      <c r="F37" s="154"/>
      <c r="G37" s="154"/>
      <c r="H37" s="154"/>
      <c r="I37" s="154"/>
      <c r="J37" s="191"/>
      <c r="K37" s="154"/>
      <c r="L37" s="157"/>
      <c r="M37" s="154"/>
      <c r="N37" s="158"/>
    </row>
    <row r="38" spans="1:14" x14ac:dyDescent="0.2">
      <c r="B38" s="100"/>
      <c r="C38" s="5"/>
      <c r="M38" s="160"/>
      <c r="N38" s="138"/>
    </row>
    <row r="39" spans="1:14" x14ac:dyDescent="0.2">
      <c r="B39" s="159"/>
      <c r="N39" s="138"/>
    </row>
    <row r="40" spans="1:14" x14ac:dyDescent="0.2">
      <c r="B40" s="159"/>
      <c r="N40" s="138"/>
    </row>
    <row r="41" spans="1:14" ht="18.75" customHeight="1" x14ac:dyDescent="0.2">
      <c r="B41" s="100"/>
      <c r="C41" s="5"/>
      <c r="D41" s="99" t="s">
        <v>378</v>
      </c>
      <c r="E41" s="5"/>
      <c r="F41" s="5"/>
      <c r="G41" s="5"/>
      <c r="H41" s="5"/>
      <c r="I41" s="32"/>
      <c r="J41" s="32"/>
      <c r="K41" s="5"/>
      <c r="L41" s="460" t="s">
        <v>359</v>
      </c>
      <c r="M41" s="460"/>
      <c r="N41" s="461"/>
    </row>
    <row r="42" spans="1:14" ht="19.5" customHeight="1" thickBot="1" x14ac:dyDescent="0.25">
      <c r="B42" s="101"/>
      <c r="C42" s="102"/>
      <c r="D42" s="459" t="s">
        <v>141</v>
      </c>
      <c r="E42" s="459"/>
      <c r="F42" s="102"/>
      <c r="G42" s="102"/>
      <c r="H42" s="102"/>
      <c r="I42" s="103"/>
      <c r="J42" s="103"/>
      <c r="K42" s="102"/>
      <c r="L42" s="394" t="s">
        <v>360</v>
      </c>
      <c r="M42" s="394"/>
      <c r="N42" s="395"/>
    </row>
    <row r="45" spans="1:14" x14ac:dyDescent="0.2">
      <c r="L45" s="25" t="s">
        <v>95</v>
      </c>
      <c r="M45" s="160">
        <f>M8+M11+M14+M15+M16+M17+M18+M19+M20+M23+M24+M28+M29+M31+M33+M30</f>
        <v>75919.910000000018</v>
      </c>
    </row>
    <row r="46" spans="1:14" x14ac:dyDescent="0.2">
      <c r="M46" s="25">
        <v>0</v>
      </c>
    </row>
    <row r="47" spans="1:14" x14ac:dyDescent="0.2">
      <c r="L47" s="25" t="s">
        <v>96</v>
      </c>
      <c r="M47" s="160">
        <f>M9+M10+M12+M22+M25+M26+M34+M13+M21+M27+M32</f>
        <v>48515.19</v>
      </c>
    </row>
    <row r="48" spans="1:14" x14ac:dyDescent="0.2">
      <c r="M48" s="160">
        <f>M47+M45</f>
        <v>124435.10000000002</v>
      </c>
    </row>
    <row r="50" spans="12:13" x14ac:dyDescent="0.2">
      <c r="L50" s="25" t="s">
        <v>370</v>
      </c>
      <c r="M50" s="160">
        <f>M48-M36</f>
        <v>0</v>
      </c>
    </row>
  </sheetData>
  <autoFilter ref="F1:F50" xr:uid="{00000000-0009-0000-0000-000006000000}"/>
  <mergeCells count="8">
    <mergeCell ref="E2:K2"/>
    <mergeCell ref="E5:K5"/>
    <mergeCell ref="L5:N5"/>
    <mergeCell ref="D42:E42"/>
    <mergeCell ref="L42:N42"/>
    <mergeCell ref="L41:N41"/>
    <mergeCell ref="B36:H36"/>
    <mergeCell ref="D6:K6"/>
  </mergeCells>
  <phoneticPr fontId="23" type="noConversion"/>
  <pageMargins left="0.7" right="0.7" top="0.75" bottom="0.75" header="0.3" footer="0.3"/>
  <pageSetup scale="66" fitToHeight="0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GridLines="0" tabSelected="1" zoomScale="87" zoomScaleNormal="87" workbookViewId="0">
      <selection activeCell="F8" sqref="F8:F29"/>
    </sheetView>
  </sheetViews>
  <sheetFormatPr baseColWidth="10" defaultColWidth="11.42578125" defaultRowHeight="15" x14ac:dyDescent="0.2"/>
  <cols>
    <col min="1" max="1" width="2.7109375" style="28" customWidth="1"/>
    <col min="2" max="3" width="4.5703125" style="28" customWidth="1"/>
    <col min="4" max="4" width="33.7109375" style="83" customWidth="1"/>
    <col min="5" max="5" width="12.85546875" style="73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77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28"/>
  </cols>
  <sheetData>
    <row r="1" spans="1:14" ht="14.25" x14ac:dyDescent="0.2">
      <c r="A1" s="5"/>
      <c r="B1" s="140"/>
      <c r="C1" s="242"/>
      <c r="D1" s="141"/>
      <c r="E1" s="142"/>
      <c r="F1" s="143"/>
      <c r="G1" s="143"/>
      <c r="H1" s="143"/>
      <c r="I1" s="143"/>
      <c r="J1" s="184"/>
      <c r="K1" s="143"/>
      <c r="L1" s="143"/>
      <c r="M1" s="143"/>
      <c r="N1" s="144"/>
    </row>
    <row r="2" spans="1:14" ht="30" customHeight="1" x14ac:dyDescent="0.2">
      <c r="A2" s="5"/>
      <c r="B2" s="145"/>
      <c r="C2" s="243"/>
      <c r="D2" s="84"/>
      <c r="E2" s="411" t="s">
        <v>364</v>
      </c>
      <c r="F2" s="411"/>
      <c r="G2" s="411"/>
      <c r="H2" s="411"/>
      <c r="I2" s="411"/>
      <c r="J2" s="411"/>
      <c r="K2" s="411"/>
      <c r="L2" s="146"/>
      <c r="M2" s="146"/>
      <c r="N2" s="147"/>
    </row>
    <row r="3" spans="1:14" ht="30" customHeight="1" x14ac:dyDescent="0.2">
      <c r="A3" s="5"/>
      <c r="B3" s="145"/>
      <c r="C3" s="243"/>
      <c r="D3" s="84"/>
      <c r="E3" s="148"/>
      <c r="F3" s="146"/>
      <c r="G3" s="146"/>
      <c r="H3" s="146"/>
      <c r="I3" s="146"/>
      <c r="J3" s="185"/>
      <c r="K3" s="146"/>
      <c r="L3" s="146"/>
      <c r="M3" s="146"/>
      <c r="N3" s="147"/>
    </row>
    <row r="4" spans="1:14" ht="30" customHeight="1" x14ac:dyDescent="0.2">
      <c r="A4" s="5"/>
      <c r="B4" s="145"/>
      <c r="C4" s="243"/>
      <c r="D4" s="84"/>
      <c r="E4" s="411" t="s">
        <v>366</v>
      </c>
      <c r="F4" s="411"/>
      <c r="G4" s="411"/>
      <c r="H4" s="411"/>
      <c r="I4" s="411"/>
      <c r="J4" s="411"/>
      <c r="K4" s="411"/>
      <c r="L4" s="146"/>
      <c r="M4" s="146"/>
      <c r="N4" s="147"/>
    </row>
    <row r="5" spans="1:14" ht="31.5" customHeight="1" x14ac:dyDescent="0.2">
      <c r="A5" s="5"/>
      <c r="B5" s="149"/>
      <c r="C5" s="39"/>
      <c r="D5" s="84"/>
      <c r="E5" s="464" t="s">
        <v>499</v>
      </c>
      <c r="F5" s="464"/>
      <c r="G5" s="464"/>
      <c r="H5" s="464"/>
      <c r="I5" s="464"/>
      <c r="J5" s="464"/>
      <c r="K5" s="464"/>
      <c r="L5" s="413"/>
      <c r="M5" s="413"/>
      <c r="N5" s="414"/>
    </row>
    <row r="6" spans="1:14" ht="30" customHeight="1" thickBot="1" x14ac:dyDescent="0.25">
      <c r="A6" s="5"/>
      <c r="B6" s="150"/>
      <c r="C6" s="48"/>
      <c r="D6" s="465" t="s">
        <v>26</v>
      </c>
      <c r="E6" s="465"/>
      <c r="F6" s="465"/>
      <c r="G6" s="465"/>
      <c r="H6" s="465"/>
      <c r="I6" s="465"/>
      <c r="J6" s="465"/>
      <c r="K6" s="151"/>
      <c r="L6" s="151"/>
      <c r="M6" s="151"/>
      <c r="N6" s="152"/>
    </row>
    <row r="7" spans="1:14" ht="41.25" customHeight="1" x14ac:dyDescent="0.2">
      <c r="A7" s="5"/>
      <c r="B7" s="114" t="s">
        <v>357</v>
      </c>
      <c r="C7" s="244" t="s">
        <v>430</v>
      </c>
      <c r="D7" s="115" t="s">
        <v>14</v>
      </c>
      <c r="E7" s="115" t="s">
        <v>351</v>
      </c>
      <c r="F7" s="115" t="s">
        <v>352</v>
      </c>
      <c r="G7" s="115" t="s">
        <v>355</v>
      </c>
      <c r="H7" s="115" t="s">
        <v>356</v>
      </c>
      <c r="I7" s="116" t="s">
        <v>353</v>
      </c>
      <c r="J7" s="186" t="s">
        <v>375</v>
      </c>
      <c r="K7" s="115" t="s">
        <v>376</v>
      </c>
      <c r="L7" s="117" t="s">
        <v>354</v>
      </c>
      <c r="M7" s="117" t="s">
        <v>363</v>
      </c>
      <c r="N7" s="133" t="s">
        <v>362</v>
      </c>
    </row>
    <row r="8" spans="1:14" s="27" customFormat="1" ht="30" customHeight="1" x14ac:dyDescent="0.2">
      <c r="A8" s="5"/>
      <c r="B8" s="307">
        <v>1</v>
      </c>
      <c r="C8" s="308"/>
      <c r="D8" s="293" t="s">
        <v>317</v>
      </c>
      <c r="E8" s="314" t="s">
        <v>36</v>
      </c>
      <c r="F8" s="315"/>
      <c r="G8" s="284">
        <v>15</v>
      </c>
      <c r="H8" s="168">
        <v>528.86659999999995</v>
      </c>
      <c r="I8" s="167">
        <f t="shared" ref="I8:I20" si="0">ROUND(G8*H8,2)</f>
        <v>7933</v>
      </c>
      <c r="J8" s="187">
        <f t="shared" ref="J8:J2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68">
        <f t="shared" ref="K8:K27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871.46</v>
      </c>
      <c r="L8" s="168">
        <f>K8</f>
        <v>871.46</v>
      </c>
      <c r="M8" s="168">
        <f>I8+J8-K8</f>
        <v>7061.54</v>
      </c>
      <c r="N8" s="169"/>
    </row>
    <row r="9" spans="1:14" s="27" customFormat="1" ht="30" customHeight="1" x14ac:dyDescent="0.2">
      <c r="A9" s="5"/>
      <c r="B9" s="307">
        <v>2</v>
      </c>
      <c r="C9" s="308" t="s">
        <v>430</v>
      </c>
      <c r="D9" s="293" t="s">
        <v>318</v>
      </c>
      <c r="E9" s="293" t="s">
        <v>75</v>
      </c>
      <c r="F9" s="316"/>
      <c r="G9" s="284">
        <v>15</v>
      </c>
      <c r="H9" s="168">
        <v>366.93299999999999</v>
      </c>
      <c r="I9" s="167">
        <f t="shared" si="0"/>
        <v>5504</v>
      </c>
      <c r="J9" s="187">
        <f t="shared" si="1"/>
        <v>0</v>
      </c>
      <c r="K9" s="168">
        <f t="shared" si="2"/>
        <v>443.05</v>
      </c>
      <c r="L9" s="168">
        <f t="shared" ref="L9:L27" si="3">K9</f>
        <v>443.05</v>
      </c>
      <c r="M9" s="168">
        <f t="shared" ref="M9:M27" si="4">I9+J9-K9</f>
        <v>5060.95</v>
      </c>
      <c r="N9" s="169"/>
    </row>
    <row r="10" spans="1:14" s="27" customFormat="1" ht="30" customHeight="1" x14ac:dyDescent="0.2">
      <c r="A10" s="5"/>
      <c r="B10" s="307">
        <v>3</v>
      </c>
      <c r="C10" s="308" t="s">
        <v>430</v>
      </c>
      <c r="D10" s="293" t="s">
        <v>319</v>
      </c>
      <c r="E10" s="293" t="s">
        <v>75</v>
      </c>
      <c r="F10" s="315"/>
      <c r="G10" s="284">
        <v>15</v>
      </c>
      <c r="H10" s="168">
        <v>366.93299999999999</v>
      </c>
      <c r="I10" s="167">
        <f t="shared" si="0"/>
        <v>5504</v>
      </c>
      <c r="J10" s="187">
        <f t="shared" si="1"/>
        <v>0</v>
      </c>
      <c r="K10" s="168">
        <f t="shared" si="2"/>
        <v>443.05</v>
      </c>
      <c r="L10" s="168">
        <f t="shared" si="3"/>
        <v>443.05</v>
      </c>
      <c r="M10" s="168">
        <f t="shared" si="4"/>
        <v>5060.95</v>
      </c>
      <c r="N10" s="169"/>
    </row>
    <row r="11" spans="1:14" s="27" customFormat="1" ht="30" customHeight="1" x14ac:dyDescent="0.2">
      <c r="A11" s="5"/>
      <c r="B11" s="307">
        <v>4</v>
      </c>
      <c r="C11" s="308" t="s">
        <v>430</v>
      </c>
      <c r="D11" s="293" t="s">
        <v>452</v>
      </c>
      <c r="E11" s="293" t="s">
        <v>41</v>
      </c>
      <c r="F11" s="315"/>
      <c r="G11" s="284">
        <v>15</v>
      </c>
      <c r="H11" s="168">
        <v>347</v>
      </c>
      <c r="I11" s="167">
        <f>ROUND(G11*H11,2)</f>
        <v>5205</v>
      </c>
      <c r="J11" s="187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168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409.84</v>
      </c>
      <c r="L11" s="168">
        <f>K11</f>
        <v>409.84</v>
      </c>
      <c r="M11" s="168">
        <f>I11+J11-K11</f>
        <v>4795.16</v>
      </c>
      <c r="N11" s="169"/>
    </row>
    <row r="12" spans="1:14" s="27" customFormat="1" ht="30" customHeight="1" x14ac:dyDescent="0.2">
      <c r="A12" s="5"/>
      <c r="B12" s="307">
        <v>5</v>
      </c>
      <c r="C12" s="308"/>
      <c r="D12" s="293" t="s">
        <v>439</v>
      </c>
      <c r="E12" s="293" t="s">
        <v>87</v>
      </c>
      <c r="F12" s="315"/>
      <c r="G12" s="284">
        <v>15</v>
      </c>
      <c r="H12" s="168">
        <v>347</v>
      </c>
      <c r="I12" s="167">
        <f t="shared" si="0"/>
        <v>5205</v>
      </c>
      <c r="J12" s="187">
        <f t="shared" si="1"/>
        <v>0</v>
      </c>
      <c r="K12" s="168">
        <f t="shared" si="2"/>
        <v>409.84</v>
      </c>
      <c r="L12" s="168">
        <f t="shared" si="3"/>
        <v>409.84</v>
      </c>
      <c r="M12" s="168">
        <f t="shared" si="4"/>
        <v>4795.16</v>
      </c>
      <c r="N12" s="169"/>
    </row>
    <row r="13" spans="1:14" ht="30" customHeight="1" x14ac:dyDescent="0.2">
      <c r="A13" s="5"/>
      <c r="B13" s="307">
        <v>6</v>
      </c>
      <c r="C13" s="308" t="s">
        <v>430</v>
      </c>
      <c r="D13" s="293" t="s">
        <v>320</v>
      </c>
      <c r="E13" s="293" t="s">
        <v>87</v>
      </c>
      <c r="F13" s="315"/>
      <c r="G13" s="284">
        <v>15</v>
      </c>
      <c r="H13" s="168">
        <v>347</v>
      </c>
      <c r="I13" s="167">
        <f t="shared" si="0"/>
        <v>5205</v>
      </c>
      <c r="J13" s="187">
        <f t="shared" si="1"/>
        <v>0</v>
      </c>
      <c r="K13" s="168">
        <f t="shared" si="2"/>
        <v>409.84</v>
      </c>
      <c r="L13" s="168">
        <f t="shared" si="3"/>
        <v>409.84</v>
      </c>
      <c r="M13" s="168">
        <f t="shared" si="4"/>
        <v>4795.16</v>
      </c>
      <c r="N13" s="169"/>
    </row>
    <row r="14" spans="1:14" ht="30" customHeight="1" x14ac:dyDescent="0.2">
      <c r="A14" s="5"/>
      <c r="B14" s="307">
        <v>7</v>
      </c>
      <c r="C14" s="308" t="s">
        <v>430</v>
      </c>
      <c r="D14" s="293" t="s">
        <v>321</v>
      </c>
      <c r="E14" s="293" t="s">
        <v>87</v>
      </c>
      <c r="F14" s="315"/>
      <c r="G14" s="284">
        <v>15</v>
      </c>
      <c r="H14" s="168">
        <v>347</v>
      </c>
      <c r="I14" s="167">
        <f t="shared" si="0"/>
        <v>5205</v>
      </c>
      <c r="J14" s="187">
        <f t="shared" si="1"/>
        <v>0</v>
      </c>
      <c r="K14" s="168">
        <f t="shared" si="2"/>
        <v>409.84</v>
      </c>
      <c r="L14" s="168">
        <f t="shared" si="3"/>
        <v>409.84</v>
      </c>
      <c r="M14" s="168">
        <f t="shared" si="4"/>
        <v>4795.16</v>
      </c>
      <c r="N14" s="169"/>
    </row>
    <row r="15" spans="1:14" ht="30" customHeight="1" x14ac:dyDescent="0.2">
      <c r="A15" s="5"/>
      <c r="B15" s="307">
        <v>8</v>
      </c>
      <c r="C15" s="308"/>
      <c r="D15" s="293" t="s">
        <v>323</v>
      </c>
      <c r="E15" s="293" t="s">
        <v>87</v>
      </c>
      <c r="F15" s="314"/>
      <c r="G15" s="284">
        <v>15</v>
      </c>
      <c r="H15" s="168">
        <v>347</v>
      </c>
      <c r="I15" s="167">
        <f t="shared" si="0"/>
        <v>5205</v>
      </c>
      <c r="J15" s="187">
        <f t="shared" si="1"/>
        <v>0</v>
      </c>
      <c r="K15" s="168">
        <f t="shared" si="2"/>
        <v>409.84</v>
      </c>
      <c r="L15" s="168">
        <f t="shared" si="3"/>
        <v>409.84</v>
      </c>
      <c r="M15" s="168">
        <f t="shared" si="4"/>
        <v>4795.16</v>
      </c>
      <c r="N15" s="169"/>
    </row>
    <row r="16" spans="1:14" s="5" customFormat="1" ht="30" customHeight="1" x14ac:dyDescent="0.2">
      <c r="B16" s="307">
        <v>9</v>
      </c>
      <c r="C16" s="308" t="s">
        <v>430</v>
      </c>
      <c r="D16" s="293" t="s">
        <v>324</v>
      </c>
      <c r="E16" s="293" t="s">
        <v>87</v>
      </c>
      <c r="F16" s="315"/>
      <c r="G16" s="284">
        <v>15</v>
      </c>
      <c r="H16" s="168">
        <v>347</v>
      </c>
      <c r="I16" s="167">
        <f t="shared" si="0"/>
        <v>5205</v>
      </c>
      <c r="J16" s="187">
        <f t="shared" si="1"/>
        <v>0</v>
      </c>
      <c r="K16" s="168">
        <f t="shared" si="2"/>
        <v>409.84</v>
      </c>
      <c r="L16" s="168">
        <f t="shared" si="3"/>
        <v>409.84</v>
      </c>
      <c r="M16" s="168">
        <f t="shared" si="4"/>
        <v>4795.16</v>
      </c>
      <c r="N16" s="169"/>
    </row>
    <row r="17" spans="1:14" ht="30" customHeight="1" x14ac:dyDescent="0.2">
      <c r="A17" s="5"/>
      <c r="B17" s="307">
        <v>10</v>
      </c>
      <c r="C17" s="308"/>
      <c r="D17" s="293" t="s">
        <v>325</v>
      </c>
      <c r="E17" s="293" t="s">
        <v>87</v>
      </c>
      <c r="F17" s="315"/>
      <c r="G17" s="284">
        <v>15</v>
      </c>
      <c r="H17" s="168">
        <v>347</v>
      </c>
      <c r="I17" s="167">
        <f>ROUND(G17*H17,2)</f>
        <v>5205</v>
      </c>
      <c r="J17" s="187">
        <f t="shared" si="1"/>
        <v>0</v>
      </c>
      <c r="K17" s="168">
        <f t="shared" si="2"/>
        <v>409.84</v>
      </c>
      <c r="L17" s="168">
        <f t="shared" si="3"/>
        <v>409.84</v>
      </c>
      <c r="M17" s="168">
        <f t="shared" si="4"/>
        <v>4795.16</v>
      </c>
      <c r="N17" s="169"/>
    </row>
    <row r="18" spans="1:14" ht="30" customHeight="1" x14ac:dyDescent="0.2">
      <c r="A18" s="5"/>
      <c r="B18" s="307">
        <v>11</v>
      </c>
      <c r="C18" s="308"/>
      <c r="D18" s="293" t="s">
        <v>326</v>
      </c>
      <c r="E18" s="293" t="s">
        <v>87</v>
      </c>
      <c r="F18" s="315"/>
      <c r="G18" s="284">
        <v>15</v>
      </c>
      <c r="H18" s="168">
        <v>347</v>
      </c>
      <c r="I18" s="167">
        <f t="shared" si="0"/>
        <v>5205</v>
      </c>
      <c r="J18" s="187">
        <f t="shared" si="1"/>
        <v>0</v>
      </c>
      <c r="K18" s="168">
        <f t="shared" si="2"/>
        <v>409.84</v>
      </c>
      <c r="L18" s="168">
        <f t="shared" si="3"/>
        <v>409.84</v>
      </c>
      <c r="M18" s="168">
        <f>I18+J18-K18</f>
        <v>4795.16</v>
      </c>
      <c r="N18" s="169"/>
    </row>
    <row r="19" spans="1:14" ht="30" customHeight="1" x14ac:dyDescent="0.2">
      <c r="A19" s="5"/>
      <c r="B19" s="307">
        <v>12</v>
      </c>
      <c r="C19" s="308"/>
      <c r="D19" s="293" t="s">
        <v>327</v>
      </c>
      <c r="E19" s="293" t="s">
        <v>87</v>
      </c>
      <c r="F19" s="315"/>
      <c r="G19" s="284">
        <v>15</v>
      </c>
      <c r="H19" s="168">
        <v>347</v>
      </c>
      <c r="I19" s="167">
        <f t="shared" si="0"/>
        <v>5205</v>
      </c>
      <c r="J19" s="187">
        <f t="shared" si="1"/>
        <v>0</v>
      </c>
      <c r="K19" s="168">
        <f t="shared" si="2"/>
        <v>409.84</v>
      </c>
      <c r="L19" s="168">
        <f t="shared" si="3"/>
        <v>409.84</v>
      </c>
      <c r="M19" s="168">
        <f t="shared" si="4"/>
        <v>4795.16</v>
      </c>
      <c r="N19" s="169"/>
    </row>
    <row r="20" spans="1:14" ht="30" customHeight="1" x14ac:dyDescent="0.2">
      <c r="A20" s="5"/>
      <c r="B20" s="307">
        <v>13</v>
      </c>
      <c r="C20" s="308"/>
      <c r="D20" s="295" t="s">
        <v>328</v>
      </c>
      <c r="E20" s="293" t="s">
        <v>139</v>
      </c>
      <c r="F20" s="315"/>
      <c r="G20" s="284">
        <v>15</v>
      </c>
      <c r="H20" s="168">
        <v>380.33330000000001</v>
      </c>
      <c r="I20" s="167">
        <f t="shared" si="0"/>
        <v>5705</v>
      </c>
      <c r="J20" s="187">
        <f t="shared" si="1"/>
        <v>0</v>
      </c>
      <c r="K20" s="168">
        <f t="shared" si="2"/>
        <v>475.21</v>
      </c>
      <c r="L20" s="168">
        <f t="shared" si="3"/>
        <v>475.21</v>
      </c>
      <c r="M20" s="168">
        <f t="shared" si="4"/>
        <v>5229.79</v>
      </c>
      <c r="N20" s="169"/>
    </row>
    <row r="21" spans="1:14" ht="30" customHeight="1" x14ac:dyDescent="0.2">
      <c r="A21" s="5"/>
      <c r="B21" s="307">
        <v>14</v>
      </c>
      <c r="C21" s="308" t="s">
        <v>430</v>
      </c>
      <c r="D21" s="295" t="s">
        <v>329</v>
      </c>
      <c r="E21" s="293" t="s">
        <v>87</v>
      </c>
      <c r="F21" s="315"/>
      <c r="G21" s="284">
        <v>15</v>
      </c>
      <c r="H21" s="168">
        <v>347</v>
      </c>
      <c r="I21" s="167">
        <f t="shared" ref="I21:I27" si="5">ROUND(G21*H21,2)</f>
        <v>5205</v>
      </c>
      <c r="J21" s="187">
        <f t="shared" si="1"/>
        <v>0</v>
      </c>
      <c r="K21" s="168">
        <f t="shared" si="2"/>
        <v>409.84</v>
      </c>
      <c r="L21" s="168">
        <f t="shared" si="3"/>
        <v>409.84</v>
      </c>
      <c r="M21" s="168">
        <f t="shared" si="4"/>
        <v>4795.16</v>
      </c>
      <c r="N21" s="169"/>
    </row>
    <row r="22" spans="1:14" ht="30" customHeight="1" x14ac:dyDescent="0.2">
      <c r="A22" s="5"/>
      <c r="B22" s="307">
        <v>15</v>
      </c>
      <c r="C22" s="308"/>
      <c r="D22" s="295" t="s">
        <v>445</v>
      </c>
      <c r="E22" s="293" t="s">
        <v>87</v>
      </c>
      <c r="F22" s="315"/>
      <c r="G22" s="284">
        <v>15</v>
      </c>
      <c r="H22" s="168">
        <v>347</v>
      </c>
      <c r="I22" s="167">
        <f t="shared" si="5"/>
        <v>5205</v>
      </c>
      <c r="J22" s="187">
        <f t="shared" si="1"/>
        <v>0</v>
      </c>
      <c r="K22" s="168">
        <f t="shared" si="2"/>
        <v>409.84</v>
      </c>
      <c r="L22" s="168">
        <f t="shared" si="3"/>
        <v>409.84</v>
      </c>
      <c r="M22" s="168">
        <f t="shared" si="4"/>
        <v>4795.16</v>
      </c>
      <c r="N22" s="169"/>
    </row>
    <row r="23" spans="1:14" ht="30" customHeight="1" x14ac:dyDescent="0.2">
      <c r="A23" s="5"/>
      <c r="B23" s="307">
        <v>16</v>
      </c>
      <c r="C23" s="308"/>
      <c r="D23" s="295" t="s">
        <v>371</v>
      </c>
      <c r="E23" s="293" t="s">
        <v>87</v>
      </c>
      <c r="F23" s="315"/>
      <c r="G23" s="284">
        <v>15</v>
      </c>
      <c r="H23" s="168">
        <v>347</v>
      </c>
      <c r="I23" s="167">
        <f t="shared" si="5"/>
        <v>5205</v>
      </c>
      <c r="J23" s="187">
        <f t="shared" si="1"/>
        <v>0</v>
      </c>
      <c r="K23" s="168">
        <f t="shared" si="2"/>
        <v>409.84</v>
      </c>
      <c r="L23" s="168">
        <f t="shared" si="3"/>
        <v>409.84</v>
      </c>
      <c r="M23" s="168">
        <f>I23+J23-K23</f>
        <v>4795.16</v>
      </c>
      <c r="N23" s="169"/>
    </row>
    <row r="24" spans="1:14" ht="30" customHeight="1" x14ac:dyDescent="0.2">
      <c r="A24" s="5"/>
      <c r="B24" s="307">
        <v>17</v>
      </c>
      <c r="C24" s="308" t="s">
        <v>430</v>
      </c>
      <c r="D24" s="293" t="s">
        <v>322</v>
      </c>
      <c r="E24" s="293" t="s">
        <v>55</v>
      </c>
      <c r="F24" s="315"/>
      <c r="G24" s="284">
        <v>15</v>
      </c>
      <c r="H24" s="168">
        <v>106.6666</v>
      </c>
      <c r="I24" s="167">
        <f t="shared" si="5"/>
        <v>1600</v>
      </c>
      <c r="J24" s="187">
        <f t="shared" si="1"/>
        <v>114.73</v>
      </c>
      <c r="K24" s="187">
        <f t="shared" si="2"/>
        <v>0</v>
      </c>
      <c r="L24" s="187">
        <f t="shared" si="3"/>
        <v>0</v>
      </c>
      <c r="M24" s="168">
        <f t="shared" si="4"/>
        <v>1714.73</v>
      </c>
      <c r="N24" s="169"/>
    </row>
    <row r="25" spans="1:14" ht="36.6" customHeight="1" x14ac:dyDescent="0.2">
      <c r="A25" s="5"/>
      <c r="B25" s="307">
        <v>18</v>
      </c>
      <c r="C25" s="308"/>
      <c r="D25" s="295" t="s">
        <v>427</v>
      </c>
      <c r="E25" s="293" t="s">
        <v>87</v>
      </c>
      <c r="F25" s="315"/>
      <c r="G25" s="284">
        <v>15</v>
      </c>
      <c r="H25" s="168">
        <v>326.93299999999999</v>
      </c>
      <c r="I25" s="167">
        <v>4904</v>
      </c>
      <c r="J25" s="187">
        <v>0</v>
      </c>
      <c r="K25" s="168">
        <v>377.09</v>
      </c>
      <c r="L25" s="168">
        <v>377.09</v>
      </c>
      <c r="M25" s="168">
        <v>4526.91</v>
      </c>
      <c r="N25" s="169"/>
    </row>
    <row r="26" spans="1:14" ht="30" customHeight="1" x14ac:dyDescent="0.2">
      <c r="A26" s="5"/>
      <c r="B26" s="307">
        <v>19</v>
      </c>
      <c r="C26" s="308"/>
      <c r="D26" s="295" t="s">
        <v>185</v>
      </c>
      <c r="E26" s="293" t="s">
        <v>174</v>
      </c>
      <c r="F26" s="315"/>
      <c r="G26" s="284">
        <v>15</v>
      </c>
      <c r="H26" s="168">
        <v>326.93329999999997</v>
      </c>
      <c r="I26" s="167">
        <f t="shared" si="5"/>
        <v>4904</v>
      </c>
      <c r="J26" s="187">
        <f t="shared" si="1"/>
        <v>0</v>
      </c>
      <c r="K26" s="168">
        <f t="shared" si="2"/>
        <v>377.09</v>
      </c>
      <c r="L26" s="168">
        <f t="shared" si="3"/>
        <v>377.09</v>
      </c>
      <c r="M26" s="168">
        <f t="shared" si="4"/>
        <v>4526.91</v>
      </c>
      <c r="N26" s="169"/>
    </row>
    <row r="27" spans="1:14" ht="29.45" customHeight="1" x14ac:dyDescent="0.2">
      <c r="A27" s="5"/>
      <c r="B27" s="307">
        <v>20</v>
      </c>
      <c r="C27" s="308"/>
      <c r="D27" s="295" t="s">
        <v>332</v>
      </c>
      <c r="E27" s="293" t="s">
        <v>174</v>
      </c>
      <c r="F27" s="315"/>
      <c r="G27" s="284">
        <v>15</v>
      </c>
      <c r="H27" s="168">
        <v>326.93329999999997</v>
      </c>
      <c r="I27" s="167">
        <f t="shared" si="5"/>
        <v>4904</v>
      </c>
      <c r="J27" s="187">
        <f t="shared" si="1"/>
        <v>0</v>
      </c>
      <c r="K27" s="168">
        <f t="shared" si="2"/>
        <v>377.09</v>
      </c>
      <c r="L27" s="168">
        <f t="shared" si="3"/>
        <v>377.09</v>
      </c>
      <c r="M27" s="168">
        <f t="shared" si="4"/>
        <v>4526.91</v>
      </c>
      <c r="N27" s="169"/>
    </row>
    <row r="28" spans="1:14" ht="29.45" customHeight="1" x14ac:dyDescent="0.2">
      <c r="A28" s="5"/>
      <c r="B28" s="307">
        <v>21</v>
      </c>
      <c r="C28" s="308" t="s">
        <v>430</v>
      </c>
      <c r="D28" s="295" t="s">
        <v>454</v>
      </c>
      <c r="E28" s="293" t="s">
        <v>174</v>
      </c>
      <c r="F28" s="315"/>
      <c r="G28" s="284">
        <v>15</v>
      </c>
      <c r="H28" s="168">
        <v>326.93329999999997</v>
      </c>
      <c r="I28" s="167">
        <f>ROUND(G28*H28,2)</f>
        <v>4904</v>
      </c>
      <c r="J28" s="187">
        <f>IFERROR(IF(ROUND((((I28/G28*30.4)-VLOOKUP((I28/G28*30.4),TARIFA,1))*VLOOKUP((I28/G28*30.4),TARIFA,3)+VLOOKUP((I28/G28*30.4),TARIFA,2)-VLOOKUP((I28/G28*30.4),SUBSIDIO,2))/30.4*G28,2)&lt;0,ROUND(-(((I28/G28*30.4)-VLOOKUP((I28/G28*30.4),TARIFA,1))*VLOOKUP((I28/G28*30.4),TARIFA,3)+VLOOKUP((I28/G28*30.4),TARIFA,2)-VLOOKUP((I28/G28*30.4),SUBSIDIO,2))/30.4*G28,2),0),0)</f>
        <v>0</v>
      </c>
      <c r="K28" s="168">
        <f>IF(H28&lt;=207.44,0,(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))</f>
        <v>377.09</v>
      </c>
      <c r="L28" s="168">
        <f>K28</f>
        <v>377.09</v>
      </c>
      <c r="M28" s="168">
        <f>I28+J28-K28</f>
        <v>4526.91</v>
      </c>
      <c r="N28" s="169"/>
    </row>
    <row r="29" spans="1:14" ht="29.45" customHeight="1" x14ac:dyDescent="0.2">
      <c r="A29" s="5"/>
      <c r="B29" s="307">
        <v>22</v>
      </c>
      <c r="C29" s="308" t="s">
        <v>430</v>
      </c>
      <c r="D29" s="295" t="s">
        <v>455</v>
      </c>
      <c r="E29" s="293" t="s">
        <v>174</v>
      </c>
      <c r="F29" s="315"/>
      <c r="G29" s="284">
        <v>15</v>
      </c>
      <c r="H29" s="168">
        <v>326.93329999999997</v>
      </c>
      <c r="I29" s="167">
        <f>ROUND(G29*H29,2)</f>
        <v>4904</v>
      </c>
      <c r="J29" s="187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68">
        <f>IF(H29&lt;=207.44,0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377.09</v>
      </c>
      <c r="L29" s="168">
        <f>K29</f>
        <v>377.09</v>
      </c>
      <c r="M29" s="168">
        <f>I29+J29-K29</f>
        <v>4526.91</v>
      </c>
      <c r="N29" s="169"/>
    </row>
    <row r="30" spans="1:14" ht="18" customHeight="1" x14ac:dyDescent="0.2">
      <c r="A30" s="5"/>
      <c r="B30" s="467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9"/>
    </row>
    <row r="31" spans="1:14" ht="18" customHeight="1" x14ac:dyDescent="0.2">
      <c r="A31" s="5"/>
      <c r="B31" s="466" t="s">
        <v>17</v>
      </c>
      <c r="C31" s="437"/>
      <c r="D31" s="432"/>
      <c r="E31" s="432"/>
      <c r="F31" s="432"/>
      <c r="G31" s="432"/>
      <c r="H31" s="432"/>
      <c r="I31" s="44">
        <f>SUM(I8:I29)</f>
        <v>113226</v>
      </c>
      <c r="J31" s="44">
        <f t="shared" ref="J31:M31" si="6">SUM(J8:J29)</f>
        <v>114.73</v>
      </c>
      <c r="K31" s="44">
        <f t="shared" si="6"/>
        <v>9036.3000000000011</v>
      </c>
      <c r="L31" s="44">
        <f t="shared" si="6"/>
        <v>9036.3000000000011</v>
      </c>
      <c r="M31" s="44">
        <f t="shared" si="6"/>
        <v>104304.43000000004</v>
      </c>
      <c r="N31" s="161"/>
    </row>
    <row r="32" spans="1:14" ht="18" customHeight="1" x14ac:dyDescent="0.2">
      <c r="A32" s="5" t="s">
        <v>441</v>
      </c>
      <c r="B32" s="162"/>
      <c r="C32" s="313"/>
      <c r="E32" s="154"/>
      <c r="F32" s="146"/>
      <c r="G32" s="146"/>
      <c r="H32" s="146"/>
      <c r="I32" s="146"/>
      <c r="J32" s="185"/>
      <c r="K32" s="146"/>
      <c r="L32" s="146"/>
      <c r="M32" s="146"/>
      <c r="N32" s="163"/>
    </row>
    <row r="33" spans="1:14" ht="12" customHeight="1" x14ac:dyDescent="0.2">
      <c r="A33" s="5" t="s">
        <v>29</v>
      </c>
      <c r="B33" s="162"/>
      <c r="C33" s="313"/>
      <c r="E33" s="154"/>
      <c r="F33" s="146"/>
      <c r="G33" s="146"/>
      <c r="H33" s="146"/>
      <c r="I33" s="146"/>
      <c r="J33" s="185"/>
      <c r="K33" s="146"/>
      <c r="L33" s="146"/>
      <c r="M33" s="164"/>
      <c r="N33" s="165"/>
    </row>
    <row r="34" spans="1:14" x14ac:dyDescent="0.2">
      <c r="B34" s="159"/>
      <c r="N34" s="166"/>
    </row>
    <row r="35" spans="1:14" x14ac:dyDescent="0.2">
      <c r="B35" s="159"/>
      <c r="N35" s="138"/>
    </row>
    <row r="36" spans="1:14" x14ac:dyDescent="0.2">
      <c r="B36" s="159"/>
      <c r="N36" s="138"/>
    </row>
    <row r="37" spans="1:14" ht="13.5" x14ac:dyDescent="0.2">
      <c r="B37" s="100"/>
      <c r="C37" s="5"/>
      <c r="D37" s="99" t="s">
        <v>378</v>
      </c>
      <c r="E37" s="5"/>
      <c r="F37" s="5"/>
      <c r="G37" s="5"/>
      <c r="H37" s="5"/>
      <c r="I37" s="32"/>
      <c r="J37" s="32"/>
      <c r="K37" s="5"/>
      <c r="L37" s="460" t="s">
        <v>359</v>
      </c>
      <c r="M37" s="460"/>
      <c r="N37" s="461"/>
    </row>
    <row r="38" spans="1:14" ht="13.5" thickBot="1" x14ac:dyDescent="0.25">
      <c r="B38" s="101"/>
      <c r="C38" s="102"/>
      <c r="D38" s="459" t="s">
        <v>141</v>
      </c>
      <c r="E38" s="459"/>
      <c r="F38" s="102"/>
      <c r="G38" s="102"/>
      <c r="H38" s="102"/>
      <c r="I38" s="103"/>
      <c r="J38" s="103"/>
      <c r="K38" s="102"/>
      <c r="L38" s="394" t="s">
        <v>360</v>
      </c>
      <c r="M38" s="394"/>
      <c r="N38" s="395"/>
    </row>
    <row r="40" spans="1:14" x14ac:dyDescent="0.2">
      <c r="L40" s="25" t="s">
        <v>95</v>
      </c>
      <c r="M40" s="176">
        <f>M9+M10+M11+M13+M14+M16+M21+M24+M28+M29</f>
        <v>44866.25</v>
      </c>
    </row>
    <row r="42" spans="1:14" x14ac:dyDescent="0.2">
      <c r="L42" s="25" t="s">
        <v>96</v>
      </c>
      <c r="M42" s="176">
        <f>M8+M12+M15+M17+M18+M19+M20+M22+M23+M25+M26+M27</f>
        <v>59438.180000000008</v>
      </c>
    </row>
    <row r="43" spans="1:14" x14ac:dyDescent="0.2">
      <c r="M43" s="176">
        <f>M40+M42</f>
        <v>104304.43000000001</v>
      </c>
    </row>
    <row r="45" spans="1:14" x14ac:dyDescent="0.2">
      <c r="L45" s="25" t="s">
        <v>370</v>
      </c>
      <c r="M45" s="177">
        <f>M31-M43</f>
        <v>0</v>
      </c>
    </row>
  </sheetData>
  <mergeCells count="10">
    <mergeCell ref="D38:E38"/>
    <mergeCell ref="L38:N38"/>
    <mergeCell ref="E4:K4"/>
    <mergeCell ref="E2:K2"/>
    <mergeCell ref="E5:K5"/>
    <mergeCell ref="L5:N5"/>
    <mergeCell ref="D6:J6"/>
    <mergeCell ref="L37:N37"/>
    <mergeCell ref="B31:H31"/>
    <mergeCell ref="B30:N30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2023-10-31T16:40:07Z</cp:lastPrinted>
  <dcterms:created xsi:type="dcterms:W3CDTF">2000-05-05T04:08:27Z</dcterms:created>
  <dcterms:modified xsi:type="dcterms:W3CDTF">2024-05-27T17:02:41Z</dcterms:modified>
</cp:coreProperties>
</file>